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čl. 20\Žádost o změnu 9 (čl. 20)_07_01_2020\"/>
    </mc:Choice>
  </mc:AlternateContent>
  <xr:revisionPtr revIDLastSave="0" documentId="13_ncr:1_{37812A8D-F066-43A4-88D0-D6876FBBDAF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 Celkový finanční plán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5" l="1"/>
  <c r="N12" i="5"/>
  <c r="N10" i="5"/>
  <c r="H10" i="8"/>
  <c r="M10" i="8"/>
  <c r="J38" i="10" l="1"/>
  <c r="J38" i="9"/>
  <c r="G38" i="8"/>
  <c r="F38" i="8"/>
  <c r="E38" i="8"/>
  <c r="G38" i="7"/>
  <c r="F38" i="7"/>
  <c r="E38" i="7"/>
  <c r="G38" i="6"/>
  <c r="F38" i="6"/>
  <c r="E38" i="6"/>
  <c r="G38" i="5"/>
  <c r="F38" i="5"/>
  <c r="E38" i="5"/>
  <c r="J38" i="2"/>
  <c r="J38" i="8"/>
  <c r="J38" i="7"/>
  <c r="J38" i="6"/>
  <c r="J38" i="5"/>
  <c r="G38" i="2" l="1"/>
  <c r="F38" i="2"/>
  <c r="E38" i="2"/>
  <c r="C28" i="2" l="1"/>
  <c r="C23" i="9" l="1"/>
  <c r="C23" i="8"/>
  <c r="D25" i="7"/>
  <c r="C23" i="7"/>
  <c r="C23" i="6"/>
  <c r="C25" i="5" l="1"/>
  <c r="E23" i="5"/>
  <c r="E24" i="5"/>
  <c r="C23" i="5"/>
  <c r="C24" i="4"/>
  <c r="D25" i="2"/>
  <c r="C24" i="2"/>
  <c r="C23" i="2"/>
  <c r="C25" i="2" s="1"/>
  <c r="K18" i="10" l="1"/>
  <c r="I18" i="10"/>
  <c r="H18" i="10"/>
  <c r="K18" i="9"/>
  <c r="I18" i="9"/>
  <c r="H18" i="9"/>
  <c r="J16" i="9"/>
  <c r="I16" i="9"/>
  <c r="H16" i="9"/>
  <c r="K18" i="8"/>
  <c r="I18" i="8"/>
  <c r="H18" i="8"/>
  <c r="L16" i="8"/>
  <c r="K16" i="8"/>
  <c r="J16" i="8"/>
  <c r="I16" i="8"/>
  <c r="H16" i="8"/>
  <c r="L14" i="8"/>
  <c r="K14" i="8"/>
  <c r="J14" i="8"/>
  <c r="I14" i="8"/>
  <c r="H14" i="8"/>
  <c r="K18" i="7"/>
  <c r="I18" i="7"/>
  <c r="H18" i="7"/>
  <c r="L16" i="7"/>
  <c r="K16" i="7"/>
  <c r="J16" i="7"/>
  <c r="I16" i="7"/>
  <c r="H16" i="7"/>
  <c r="L14" i="7"/>
  <c r="K14" i="7"/>
  <c r="J14" i="7"/>
  <c r="I14" i="7"/>
  <c r="H14" i="7"/>
  <c r="D28" i="7"/>
  <c r="D29" i="7" s="1"/>
  <c r="C28" i="7"/>
  <c r="K18" i="6"/>
  <c r="I18" i="6"/>
  <c r="H18" i="6"/>
  <c r="L16" i="6"/>
  <c r="K16" i="6"/>
  <c r="J16" i="6"/>
  <c r="I16" i="6"/>
  <c r="H16" i="6"/>
  <c r="L14" i="6"/>
  <c r="K14" i="6"/>
  <c r="J14" i="6"/>
  <c r="I14" i="6"/>
  <c r="C26" i="6" s="1"/>
  <c r="C27" i="6" s="1"/>
  <c r="H14" i="6"/>
  <c r="D28" i="6"/>
  <c r="D29" i="6" s="1"/>
  <c r="C28" i="6"/>
  <c r="C29" i="6" s="1"/>
  <c r="L16" i="5"/>
  <c r="K16" i="5"/>
  <c r="J16" i="5"/>
  <c r="I16" i="5"/>
  <c r="L14" i="5"/>
  <c r="K14" i="5"/>
  <c r="J14" i="5"/>
  <c r="D26" i="5" s="1"/>
  <c r="D27" i="5" s="1"/>
  <c r="I14" i="5"/>
  <c r="C26" i="5" s="1"/>
  <c r="C27" i="5" s="1"/>
  <c r="H14" i="5"/>
  <c r="D28" i="5"/>
  <c r="D29" i="5" s="1"/>
  <c r="C28" i="5"/>
  <c r="C29" i="5" s="1"/>
  <c r="D28" i="4"/>
  <c r="C28" i="4"/>
  <c r="D28" i="2"/>
  <c r="D29" i="2" s="1"/>
  <c r="E28" i="4" l="1"/>
  <c r="C29" i="7"/>
  <c r="E28" i="7"/>
  <c r="E29" i="7" s="1"/>
  <c r="K41" i="10"/>
  <c r="I41" i="10"/>
  <c r="G41" i="10"/>
  <c r="F41" i="10"/>
  <c r="K40" i="10"/>
  <c r="G40" i="10"/>
  <c r="F40" i="10"/>
  <c r="K39" i="10"/>
  <c r="H39" i="10"/>
  <c r="F39" i="10"/>
  <c r="E39" i="10"/>
  <c r="K38" i="10"/>
  <c r="H38" i="10"/>
  <c r="F38" i="10"/>
  <c r="E38" i="10"/>
  <c r="K37" i="10"/>
  <c r="F37" i="10"/>
  <c r="E28" i="10"/>
  <c r="E29" i="10" s="1"/>
  <c r="C28" i="10"/>
  <c r="C29" i="10" s="1"/>
  <c r="C26" i="10"/>
  <c r="C27" i="10" s="1"/>
  <c r="E24" i="10"/>
  <c r="C24" i="10"/>
  <c r="C23" i="10"/>
  <c r="E41" i="10"/>
  <c r="H17" i="10"/>
  <c r="E37" i="10" s="1"/>
  <c r="K16" i="10"/>
  <c r="J16" i="10"/>
  <c r="L14" i="10"/>
  <c r="K14" i="10"/>
  <c r="J14" i="10"/>
  <c r="G37" i="10" s="1"/>
  <c r="L13" i="10"/>
  <c r="J13" i="10"/>
  <c r="L12" i="10"/>
  <c r="J12" i="10"/>
  <c r="L10" i="10"/>
  <c r="J10" i="10"/>
  <c r="L9" i="10"/>
  <c r="I39" i="10" s="1"/>
  <c r="J9" i="10"/>
  <c r="D28" i="10" s="1"/>
  <c r="D29" i="10" s="1"/>
  <c r="H8" i="10"/>
  <c r="L8" i="10" s="1"/>
  <c r="I40" i="10" s="1"/>
  <c r="H7" i="10"/>
  <c r="E23" i="10" s="1"/>
  <c r="H6" i="10"/>
  <c r="K41" i="9"/>
  <c r="I41" i="9"/>
  <c r="H41" i="9"/>
  <c r="G41" i="9"/>
  <c r="F41" i="9"/>
  <c r="K40" i="9"/>
  <c r="G40" i="9"/>
  <c r="K39" i="9"/>
  <c r="H39" i="9"/>
  <c r="E39" i="9"/>
  <c r="K38" i="9"/>
  <c r="H38" i="9"/>
  <c r="E38" i="9"/>
  <c r="K37" i="9"/>
  <c r="H37" i="9"/>
  <c r="G37" i="9"/>
  <c r="F37" i="9"/>
  <c r="E37" i="9"/>
  <c r="D26" i="9"/>
  <c r="D27" i="9" s="1"/>
  <c r="C26" i="9"/>
  <c r="C24" i="9"/>
  <c r="C25" i="9" s="1"/>
  <c r="E23" i="9"/>
  <c r="E41" i="9"/>
  <c r="L17" i="9"/>
  <c r="I37" i="9" s="1"/>
  <c r="F40" i="9"/>
  <c r="L13" i="9"/>
  <c r="J13" i="9"/>
  <c r="I13" i="9"/>
  <c r="L12" i="9"/>
  <c r="J12" i="9"/>
  <c r="G38" i="9" s="1"/>
  <c r="I12" i="9"/>
  <c r="L10" i="9"/>
  <c r="I38" i="9" s="1"/>
  <c r="J10" i="9"/>
  <c r="I10" i="9"/>
  <c r="L9" i="9"/>
  <c r="I39" i="9" s="1"/>
  <c r="J9" i="9"/>
  <c r="G39" i="9" s="1"/>
  <c r="I9" i="9"/>
  <c r="I40" i="9"/>
  <c r="E40" i="9"/>
  <c r="K41" i="8"/>
  <c r="I41" i="8"/>
  <c r="H41" i="8"/>
  <c r="G41" i="8"/>
  <c r="F41" i="8"/>
  <c r="E41" i="8"/>
  <c r="K40" i="8"/>
  <c r="G40" i="8"/>
  <c r="K39" i="8"/>
  <c r="H39" i="8"/>
  <c r="E39" i="8"/>
  <c r="K38" i="8"/>
  <c r="H38" i="8"/>
  <c r="K37" i="8"/>
  <c r="C24" i="8"/>
  <c r="E23" i="8"/>
  <c r="F40" i="8"/>
  <c r="I37" i="8"/>
  <c r="H37" i="8"/>
  <c r="G37" i="8"/>
  <c r="F37" i="8"/>
  <c r="E37" i="8"/>
  <c r="I38" i="8"/>
  <c r="I39" i="8"/>
  <c r="I40" i="8"/>
  <c r="E40" i="8"/>
  <c r="K41" i="7"/>
  <c r="I41" i="7"/>
  <c r="G41" i="7"/>
  <c r="F41" i="7"/>
  <c r="K40" i="7"/>
  <c r="G40" i="7"/>
  <c r="K39" i="7"/>
  <c r="H39" i="7"/>
  <c r="G39" i="7"/>
  <c r="E39" i="7"/>
  <c r="K38" i="7"/>
  <c r="H38" i="7"/>
  <c r="K37" i="7"/>
  <c r="F37" i="7"/>
  <c r="C26" i="7"/>
  <c r="C27" i="7" s="1"/>
  <c r="C24" i="7"/>
  <c r="E23" i="7"/>
  <c r="E41" i="7"/>
  <c r="I40" i="7"/>
  <c r="F40" i="7"/>
  <c r="I37" i="7"/>
  <c r="H37" i="7"/>
  <c r="G37" i="7"/>
  <c r="E37" i="7"/>
  <c r="I38" i="7"/>
  <c r="I39" i="7"/>
  <c r="F39" i="7"/>
  <c r="E40" i="7"/>
  <c r="K41" i="6"/>
  <c r="I41" i="6"/>
  <c r="H41" i="6"/>
  <c r="G41" i="6"/>
  <c r="F41" i="6"/>
  <c r="E41" i="6"/>
  <c r="K40" i="6"/>
  <c r="I40" i="6"/>
  <c r="H40" i="6"/>
  <c r="G40" i="6"/>
  <c r="F40" i="6"/>
  <c r="E40" i="6"/>
  <c r="K39" i="6"/>
  <c r="I39" i="6"/>
  <c r="H39" i="6"/>
  <c r="G39" i="6"/>
  <c r="F39" i="6"/>
  <c r="E39" i="6"/>
  <c r="K38" i="6"/>
  <c r="I38" i="6"/>
  <c r="H38" i="6"/>
  <c r="K37" i="6"/>
  <c r="I37" i="6"/>
  <c r="H37" i="6"/>
  <c r="G37" i="6"/>
  <c r="F37" i="6"/>
  <c r="E37" i="6"/>
  <c r="E28" i="6"/>
  <c r="E29" i="6" s="1"/>
  <c r="D26" i="6"/>
  <c r="D27" i="6" s="1"/>
  <c r="D25" i="6"/>
  <c r="D30" i="6" s="1"/>
  <c r="C24" i="6"/>
  <c r="C25" i="6" s="1"/>
  <c r="C30" i="6" s="1"/>
  <c r="E23" i="6"/>
  <c r="K41" i="5"/>
  <c r="I41" i="5"/>
  <c r="G41" i="5"/>
  <c r="F41" i="5"/>
  <c r="E41" i="5"/>
  <c r="K40" i="5"/>
  <c r="G40" i="5"/>
  <c r="K39" i="5"/>
  <c r="H39" i="5"/>
  <c r="E39" i="5"/>
  <c r="K38" i="5"/>
  <c r="H38" i="5"/>
  <c r="K37" i="5"/>
  <c r="H37" i="5"/>
  <c r="G37" i="5"/>
  <c r="E37" i="5"/>
  <c r="C30" i="5"/>
  <c r="E28" i="5"/>
  <c r="E29" i="5" s="1"/>
  <c r="E26" i="5"/>
  <c r="E27" i="5" s="1"/>
  <c r="D25" i="5"/>
  <c r="K18" i="5"/>
  <c r="H41" i="5" s="1"/>
  <c r="L17" i="5"/>
  <c r="I37" i="5" s="1"/>
  <c r="F37" i="5"/>
  <c r="F40" i="5"/>
  <c r="I39" i="5"/>
  <c r="G39" i="5"/>
  <c r="F39" i="5"/>
  <c r="I40" i="5"/>
  <c r="H40" i="5"/>
  <c r="K41" i="4"/>
  <c r="I41" i="4"/>
  <c r="G41" i="4"/>
  <c r="F41" i="4"/>
  <c r="E41" i="4"/>
  <c r="K40" i="4"/>
  <c r="G40" i="4"/>
  <c r="K39" i="4"/>
  <c r="I39" i="4"/>
  <c r="H39" i="4"/>
  <c r="F39" i="4"/>
  <c r="E39" i="4"/>
  <c r="K38" i="4"/>
  <c r="H38" i="4"/>
  <c r="G38" i="4"/>
  <c r="E38" i="4"/>
  <c r="K37" i="4"/>
  <c r="I37" i="4"/>
  <c r="H37" i="4"/>
  <c r="G37" i="4"/>
  <c r="F37" i="4"/>
  <c r="E37" i="4"/>
  <c r="D29" i="4"/>
  <c r="C29" i="4"/>
  <c r="D26" i="4"/>
  <c r="D27" i="4" s="1"/>
  <c r="C26" i="4"/>
  <c r="C27" i="4" s="1"/>
  <c r="D25" i="4"/>
  <c r="E24" i="4"/>
  <c r="E23" i="4"/>
  <c r="H41" i="4"/>
  <c r="F40" i="4"/>
  <c r="I38" i="4"/>
  <c r="F38" i="4"/>
  <c r="G39" i="4"/>
  <c r="I40" i="4"/>
  <c r="E40" i="4"/>
  <c r="K41" i="3"/>
  <c r="I41" i="3"/>
  <c r="G41" i="3"/>
  <c r="F41" i="3"/>
  <c r="K40" i="3"/>
  <c r="G40" i="3"/>
  <c r="F40" i="3"/>
  <c r="K39" i="3"/>
  <c r="H39" i="3"/>
  <c r="F39" i="3"/>
  <c r="E39" i="3"/>
  <c r="K38" i="3"/>
  <c r="H38" i="3"/>
  <c r="F38" i="3"/>
  <c r="E38" i="3"/>
  <c r="K37" i="3"/>
  <c r="F37" i="3"/>
  <c r="C29" i="3"/>
  <c r="E28" i="3"/>
  <c r="E29" i="3" s="1"/>
  <c r="C28" i="3"/>
  <c r="E26" i="3"/>
  <c r="E27" i="3" s="1"/>
  <c r="C26" i="3"/>
  <c r="C27" i="3" s="1"/>
  <c r="C24" i="3"/>
  <c r="C23" i="3"/>
  <c r="C25" i="3" s="1"/>
  <c r="H18" i="3"/>
  <c r="E24" i="3" s="1"/>
  <c r="H17" i="3"/>
  <c r="L17" i="3" s="1"/>
  <c r="K16" i="3"/>
  <c r="J16" i="3"/>
  <c r="L15" i="3"/>
  <c r="L14" i="3"/>
  <c r="I37" i="3" s="1"/>
  <c r="K14" i="3"/>
  <c r="H37" i="3" s="1"/>
  <c r="J14" i="3"/>
  <c r="G37" i="3" s="1"/>
  <c r="L13" i="3"/>
  <c r="J13" i="3"/>
  <c r="L12" i="3"/>
  <c r="J12" i="3"/>
  <c r="L10" i="3"/>
  <c r="I38" i="3" s="1"/>
  <c r="J10" i="3"/>
  <c r="L9" i="3"/>
  <c r="I39" i="3" s="1"/>
  <c r="J9" i="3"/>
  <c r="G39" i="3" s="1"/>
  <c r="H8" i="3"/>
  <c r="L8" i="3" s="1"/>
  <c r="I40" i="3" s="1"/>
  <c r="H7" i="3"/>
  <c r="E40" i="3" s="1"/>
  <c r="H6" i="3"/>
  <c r="K6" i="3" s="1"/>
  <c r="K41" i="2"/>
  <c r="I41" i="2"/>
  <c r="H41" i="2"/>
  <c r="G41" i="2"/>
  <c r="F41" i="2"/>
  <c r="E41" i="2"/>
  <c r="K40" i="2"/>
  <c r="I40" i="2"/>
  <c r="H40" i="2"/>
  <c r="G40" i="2"/>
  <c r="F40" i="2"/>
  <c r="E40" i="2"/>
  <c r="K39" i="2"/>
  <c r="I39" i="2"/>
  <c r="H39" i="2"/>
  <c r="G39" i="2"/>
  <c r="F39" i="2"/>
  <c r="E39" i="2"/>
  <c r="K38" i="2"/>
  <c r="I38" i="2"/>
  <c r="H38" i="2"/>
  <c r="K37" i="2"/>
  <c r="I37" i="2"/>
  <c r="H37" i="2"/>
  <c r="G37" i="2"/>
  <c r="F37" i="2"/>
  <c r="E37" i="2"/>
  <c r="G28" i="2"/>
  <c r="G26" i="2"/>
  <c r="D26" i="2"/>
  <c r="D27" i="2" s="1"/>
  <c r="D30" i="2" s="1"/>
  <c r="C26" i="2"/>
  <c r="C27" i="2" s="1"/>
  <c r="G24" i="2"/>
  <c r="E24" i="2"/>
  <c r="G23" i="2"/>
  <c r="E23" i="2"/>
  <c r="Q18" i="2"/>
  <c r="Q17" i="2"/>
  <c r="Q16" i="2"/>
  <c r="E29" i="4" l="1"/>
  <c r="E23" i="3"/>
  <c r="E25" i="2"/>
  <c r="K7" i="3"/>
  <c r="G38" i="3"/>
  <c r="E24" i="6"/>
  <c r="G39" i="8"/>
  <c r="D28" i="8"/>
  <c r="D29" i="8" s="1"/>
  <c r="E24" i="8"/>
  <c r="E25" i="8" s="1"/>
  <c r="C25" i="8"/>
  <c r="H37" i="10"/>
  <c r="F39" i="8"/>
  <c r="C28" i="8"/>
  <c r="D30" i="5"/>
  <c r="E25" i="5"/>
  <c r="E24" i="7"/>
  <c r="E25" i="7" s="1"/>
  <c r="C25" i="7"/>
  <c r="C30" i="7" s="1"/>
  <c r="F38" i="9"/>
  <c r="E40" i="10"/>
  <c r="K8" i="10"/>
  <c r="G38" i="10"/>
  <c r="L17" i="10"/>
  <c r="I37" i="10" s="1"/>
  <c r="E28" i="2"/>
  <c r="E29" i="2" s="1"/>
  <c r="C29" i="2"/>
  <c r="C30" i="2" s="1"/>
  <c r="E25" i="4"/>
  <c r="C28" i="9"/>
  <c r="K6" i="10"/>
  <c r="I38" i="10"/>
  <c r="E30" i="6"/>
  <c r="C25" i="10"/>
  <c r="C30" i="10" s="1"/>
  <c r="E25" i="10"/>
  <c r="E24" i="9"/>
  <c r="E25" i="9" s="1"/>
  <c r="E26" i="9"/>
  <c r="C27" i="9"/>
  <c r="E27" i="9" s="1"/>
  <c r="E26" i="6"/>
  <c r="E27" i="6" s="1"/>
  <c r="I38" i="5"/>
  <c r="D30" i="4"/>
  <c r="G30" i="2"/>
  <c r="E25" i="3"/>
  <c r="E30" i="3" s="1"/>
  <c r="C29" i="9"/>
  <c r="C30" i="3"/>
  <c r="E30" i="5"/>
  <c r="C30" i="4"/>
  <c r="H40" i="9"/>
  <c r="E26" i="2"/>
  <c r="E27" i="2" s="1"/>
  <c r="K18" i="3"/>
  <c r="H40" i="4"/>
  <c r="E26" i="4"/>
  <c r="E27" i="4" s="1"/>
  <c r="H40" i="7"/>
  <c r="D26" i="7"/>
  <c r="C26" i="8"/>
  <c r="C27" i="8" s="1"/>
  <c r="F39" i="9"/>
  <c r="K7" i="10"/>
  <c r="D26" i="10"/>
  <c r="D27" i="10" s="1"/>
  <c r="G39" i="10"/>
  <c r="D26" i="3"/>
  <c r="D27" i="3" s="1"/>
  <c r="D28" i="9"/>
  <c r="D29" i="9" s="1"/>
  <c r="D30" i="9" s="1"/>
  <c r="K8" i="3"/>
  <c r="D23" i="3" s="1"/>
  <c r="D28" i="3"/>
  <c r="D29" i="3" s="1"/>
  <c r="E37" i="3"/>
  <c r="E41" i="3"/>
  <c r="E40" i="5"/>
  <c r="E25" i="6"/>
  <c r="H41" i="7"/>
  <c r="D26" i="8"/>
  <c r="D27" i="8" s="1"/>
  <c r="E26" i="10"/>
  <c r="E27" i="10" s="1"/>
  <c r="E30" i="2" l="1"/>
  <c r="C30" i="9"/>
  <c r="E30" i="9" s="1"/>
  <c r="C30" i="8"/>
  <c r="E30" i="10"/>
  <c r="D30" i="8"/>
  <c r="D23" i="10"/>
  <c r="E26" i="7"/>
  <c r="E27" i="7" s="1"/>
  <c r="E30" i="7" s="1"/>
  <c r="D27" i="7"/>
  <c r="D30" i="7" s="1"/>
  <c r="C29" i="8"/>
  <c r="E28" i="8"/>
  <c r="E29" i="8" s="1"/>
  <c r="E30" i="4"/>
  <c r="D24" i="3"/>
  <c r="D25" i="3" s="1"/>
  <c r="D30" i="3" s="1"/>
  <c r="H41" i="3"/>
  <c r="H40" i="3"/>
  <c r="H40" i="8"/>
  <c r="E26" i="8"/>
  <c r="E27" i="8" s="1"/>
  <c r="E28" i="9"/>
  <c r="H40" i="10"/>
  <c r="E29" i="9"/>
  <c r="D25" i="10"/>
  <c r="D30" i="10" s="1"/>
  <c r="H41" i="10"/>
  <c r="E30" i="8" l="1"/>
</calcChain>
</file>

<file path=xl/sharedStrings.xml><?xml version="1.0" encoding="utf-8"?>
<sst xmlns="http://schemas.openxmlformats.org/spreadsheetml/2006/main" count="1224" uniqueCount="110">
  <si>
    <t>Specifický cíl SCLLD</t>
  </si>
  <si>
    <t>Podopatření SCLLD</t>
  </si>
  <si>
    <t>IDENTIFIKACE programu</t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</si>
  <si>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</si>
  <si>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</si>
  <si>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</si>
  <si>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</si>
  <si>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</si>
  <si>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</si>
  <si>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</si>
  <si>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IROP</t>
  </si>
  <si>
    <t>OP Z</t>
  </si>
  <si>
    <t>PRV</t>
  </si>
  <si>
    <t>OP ŽP</t>
  </si>
  <si>
    <t>Celkem</t>
  </si>
  <si>
    <t>SC 1.1</t>
  </si>
  <si>
    <t>O 1.1.1</t>
  </si>
  <si>
    <t>SC 1.2</t>
  </si>
  <si>
    <t>O 1.2.2</t>
  </si>
  <si>
    <t>SC 2.1</t>
  </si>
  <si>
    <t>OPZ</t>
  </si>
  <si>
    <t>SC 2.2</t>
  </si>
  <si>
    <t>O 2.2.1</t>
  </si>
  <si>
    <t>O 2.2.2</t>
  </si>
  <si>
    <t>SC 3.1</t>
  </si>
  <si>
    <t>O 3.1.1</t>
  </si>
  <si>
    <t>Fond</t>
  </si>
  <si>
    <t>ERDF</t>
  </si>
  <si>
    <t>Celkem ERDF</t>
  </si>
  <si>
    <t>ESF</t>
  </si>
  <si>
    <t>Celkem ESF</t>
  </si>
  <si>
    <t>EZFRV</t>
  </si>
  <si>
    <t>Celkem EZFRV</t>
  </si>
  <si>
    <t xml:space="preserve"> Celkem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</si>
  <si>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</si>
  <si>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</si>
  <si>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</si>
  <si>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</si>
  <si>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</si>
  <si>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</si>
  <si>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</si>
  <si>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</si>
  <si>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</si>
  <si>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</si>
  <si>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</si>
  <si>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6</t>
  </si>
  <si>
    <t>6b</t>
  </si>
  <si>
    <t>19.3.1</t>
  </si>
  <si>
    <t>19.2.1</t>
  </si>
  <si>
    <t>2.3</t>
  </si>
  <si>
    <t>2.3.1</t>
  </si>
  <si>
    <t>O 2.2.3</t>
  </si>
  <si>
    <t>O 2.2.5</t>
  </si>
  <si>
    <t>OPŽP</t>
  </si>
  <si>
    <t>4.3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</si>
  <si>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</si>
  <si>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</si>
  <si>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</si>
  <si>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</si>
  <si>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</si>
  <si>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</si>
  <si>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</si>
  <si>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</si>
  <si>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</si>
  <si>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</si>
  <si>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f) Financování SCLLD v roku 2016 p odle specifický ch cílů operačních programů / op atření EZFRV (PRV)</t>
  </si>
  <si>
    <t>e) Financování podle jednotlivých specifických cílů a opatření (příp. podopatření) SCLLD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</si>
  <si>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</si>
  <si>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</si>
  <si>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</si>
  <si>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</si>
  <si>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</si>
  <si>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</si>
  <si>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</si>
  <si>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</si>
  <si>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</si>
  <si>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</si>
  <si>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</si>
  <si>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</si>
  <si>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f) Financování SCLLD v roku 2023 podle specifických cílů operačních programů / opatření EZFRV (PRV)</t>
  </si>
  <si>
    <t>Prioritní osa / Priorita Unie</t>
  </si>
  <si>
    <t>PLÁN FINANCOVÁNÍ (způsobilé výdaje v Kč)</t>
  </si>
  <si>
    <t>Nezpůsobilé výdaje (Kč)</t>
  </si>
  <si>
    <t>h ) Financování podle programů a ESI fondů (Podpora v Kč) v letech 2016 - 2023</t>
  </si>
  <si>
    <t>PLÁN FINANCOVÁNÍ (způsobilé výdaje v Kč)</t>
  </si>
  <si>
    <t>h ) Financování podle programů a ESI fondů (Podpora v Kč) v roku 2016</t>
  </si>
  <si>
    <t>Podpora (Kč)</t>
  </si>
  <si>
    <t>Národní spolufinancování (Kč)</t>
  </si>
  <si>
    <t xml:space="preserve"> Příspěvek Unie (Kč)</t>
  </si>
  <si>
    <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Kč)</t>
    </r>
  </si>
  <si>
    <t>Nezpůsobilé výdaje (v Kč)</t>
  </si>
  <si>
    <t>h ) Financování podle programů a ESI fondů (Podpora v Kč) v roku 2017</t>
  </si>
  <si>
    <t>h ) Financování podle programů a ESI fondů (Podpora v Kč) v roku 2018</t>
  </si>
  <si>
    <t>h ) Financování podle programů a ESI fondů (Podpora v Kč) v roku 2019</t>
  </si>
  <si>
    <t>h ) Financování podle programů a ESI fondů (Podpora v Kč) v roku 2020</t>
  </si>
  <si>
    <t>h ) Financování podle programů a ESI fondů (Podpora v Kč) v roku 2021</t>
  </si>
  <si>
    <t>h ) Financování podle programů a ESI fondů (Podpora v Kč) v roku 2022</t>
  </si>
  <si>
    <t>h ) Financování podle programů a ESI fondů (Podpora v Kč) v roku 2023</t>
  </si>
  <si>
    <t>Fiche 1:Investice do zemědělských podniků</t>
  </si>
  <si>
    <t>Fiche 2:Zpracování a uvádění na trh zemědělských produktů</t>
  </si>
  <si>
    <t>Fiche 3:Podpora investic na založení nebo rozvoj nezemědělských činností</t>
  </si>
  <si>
    <t>Fiche 4:Spolupráce MAS v rámci iniciativy LEADER</t>
  </si>
  <si>
    <t>Fiche 5: Základní služby a obnova vesnic ve venkovských oblastech</t>
  </si>
  <si>
    <t>O 1.4.1</t>
  </si>
  <si>
    <t>O 2.1.1</t>
  </si>
  <si>
    <t>O 2.1.2</t>
  </si>
  <si>
    <t>O 2.1.3</t>
  </si>
  <si>
    <t>O 1.3.1</t>
  </si>
  <si>
    <t>Opatření SCLLD</t>
  </si>
  <si>
    <t>Soukromé zdroje PRV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</si>
</sst>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m"/>
    <numFmt numFmtId="166" formatCode="#,##0.00_ ;\-#,##0.00\ "/>
  </numFmts>
  <fonts count="12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theme="5" tint="0.79998168889431442"/>
        <bgColor rgb="FFFFF2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E46C0A"/>
      </patternFill>
    </fill>
    <fill>
      <patternFill patternType="solid">
        <fgColor theme="5" tint="0.59999389629810485"/>
        <bgColor rgb="FFFFF200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rgb="FFFABF8F"/>
      </patternFill>
    </fill>
    <fill>
      <patternFill patternType="solid">
        <fgColor rgb="FFFFFF00"/>
        <bgColor rgb="FFFFF200"/>
      </patternFill>
    </fill>
    <fill>
      <patternFill patternType="solid">
        <fgColor theme="5" tint="0.79998168889431442"/>
        <bgColor rgb="FFFBD4B4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rgb="FFFCD5B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84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4" fontId="1" fillId="17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right" vertical="center" wrapText="1"/>
    </xf>
    <xf numFmtId="4" fontId="1" fillId="18" borderId="1" xfId="0" applyNumberFormat="1" applyFont="1" applyFill="1" applyBorder="1" applyAlignment="1">
      <alignment horizontal="center" vertical="center" wrapText="1"/>
    </xf>
    <xf numFmtId="4" fontId="1" fillId="19" borderId="1" xfId="0" applyNumberFormat="1" applyFont="1" applyFill="1" applyBorder="1" applyAlignment="1">
      <alignment horizontal="center" vertical="center" wrapText="1"/>
    </xf>
    <xf numFmtId="4" fontId="2" fillId="19" borderId="1" xfId="0" applyNumberFormat="1" applyFont="1" applyFill="1" applyBorder="1" applyAlignment="1">
      <alignment horizontal="center" vertical="center" wrapText="1"/>
    </xf>
    <xf numFmtId="4" fontId="9" fillId="16" borderId="1" xfId="0" applyNumberFormat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right" vertical="center" wrapText="1"/>
    </xf>
    <xf numFmtId="164" fontId="1" fillId="11" borderId="1" xfId="1" applyFont="1" applyFill="1" applyBorder="1" applyAlignment="1">
      <alignment horizontal="right" vertical="center" wrapText="1"/>
    </xf>
    <xf numFmtId="164" fontId="6" fillId="12" borderId="1" xfId="1" applyFont="1" applyFill="1" applyBorder="1" applyAlignment="1">
      <alignment horizontal="center" vertical="center" wrapText="1"/>
    </xf>
    <xf numFmtId="164" fontId="6" fillId="12" borderId="1" xfId="1" applyFont="1" applyFill="1" applyBorder="1" applyAlignment="1">
      <alignment horizontal="right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4" fontId="2" fillId="20" borderId="1" xfId="0" applyNumberFormat="1" applyFont="1" applyFill="1" applyBorder="1" applyAlignment="1">
      <alignment horizontal="center" vertical="center" wrapText="1"/>
    </xf>
    <xf numFmtId="4" fontId="1" fillId="21" borderId="1" xfId="0" applyNumberFormat="1" applyFont="1" applyFill="1" applyBorder="1" applyAlignment="1">
      <alignment horizontal="center" vertical="center" wrapText="1"/>
    </xf>
    <xf numFmtId="4" fontId="1" fillId="22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22" borderId="1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11" borderId="1" xfId="0" applyNumberFormat="1" applyFont="1" applyFill="1" applyBorder="1" applyAlignment="1">
      <alignment vertical="center" wrapText="1"/>
    </xf>
    <xf numFmtId="4" fontId="1" fillId="16" borderId="1" xfId="0" applyNumberFormat="1" applyFont="1" applyFill="1" applyBorder="1" applyAlignment="1">
      <alignment vertical="center" wrapText="1"/>
    </xf>
    <xf numFmtId="4" fontId="5" fillId="16" borderId="1" xfId="0" applyNumberFormat="1" applyFont="1" applyFill="1" applyBorder="1" applyAlignment="1">
      <alignment vertical="center" wrapText="1"/>
    </xf>
    <xf numFmtId="4" fontId="5" fillId="12" borderId="1" xfId="0" applyNumberFormat="1" applyFont="1" applyFill="1" applyBorder="1" applyAlignment="1">
      <alignment horizontal="right" vertical="center" wrapText="1"/>
    </xf>
    <xf numFmtId="4" fontId="5" fillId="16" borderId="1" xfId="0" applyNumberFormat="1" applyFont="1" applyFill="1" applyBorder="1" applyAlignment="1">
      <alignment horizontal="right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4" fontId="1" fillId="23" borderId="0" xfId="0" applyNumberFormat="1" applyFont="1" applyFill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center" wrapText="1"/>
    </xf>
    <xf numFmtId="4" fontId="5" fillId="16" borderId="1" xfId="0" applyNumberFormat="1" applyFont="1" applyFill="1" applyBorder="1" applyAlignment="1">
      <alignment horizontal="right" vertical="center"/>
    </xf>
    <xf numFmtId="4" fontId="5" fillId="20" borderId="1" xfId="0" applyNumberFormat="1" applyFont="1" applyFill="1" applyBorder="1" applyAlignment="1">
      <alignment horizontal="right" vertical="center" wrapText="1"/>
    </xf>
    <xf numFmtId="4" fontId="6" fillId="17" borderId="1" xfId="0" applyNumberFormat="1" applyFont="1" applyFill="1" applyBorder="1" applyAlignment="1">
      <alignment horizontal="right" vertical="center" wrapText="1"/>
    </xf>
    <xf numFmtId="4" fontId="1" fillId="17" borderId="1" xfId="0" applyNumberFormat="1" applyFont="1" applyFill="1" applyBorder="1" applyAlignment="1">
      <alignment horizontal="right" vertical="center" wrapText="1"/>
    </xf>
    <xf numFmtId="164" fontId="9" fillId="16" borderId="1" xfId="1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 wrapText="1"/>
    </xf>
    <xf numFmtId="0" fontId="5" fillId="25" borderId="3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4" fontId="5" fillId="16" borderId="1" xfId="0" applyNumberFormat="1" applyFont="1" applyFill="1" applyBorder="1" applyAlignment="1">
      <alignment horizontal="center" vertical="center" wrapText="1"/>
    </xf>
    <xf numFmtId="164" fontId="1" fillId="0" borderId="0" xfId="1" applyFont="1" applyAlignment="1">
      <alignment vertical="center"/>
    </xf>
    <xf numFmtId="164" fontId="1" fillId="0" borderId="0" xfId="0" applyNumberFormat="1" applyFont="1" applyAlignment="1">
      <alignment vertical="center"/>
    </xf>
    <xf numFmtId="4" fontId="5" fillId="17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vertical="center" wrapText="1"/>
    </xf>
    <xf numFmtId="4" fontId="8" fillId="24" borderId="1" xfId="0" applyNumberFormat="1" applyFont="1" applyFill="1" applyBorder="1" applyAlignment="1">
      <alignment horizontal="center" vertical="center" wrapText="1"/>
    </xf>
    <xf numFmtId="4" fontId="8" fillId="24" borderId="9" xfId="0" applyNumberFormat="1" applyFont="1" applyFill="1" applyBorder="1" applyAlignment="1">
      <alignment horizontal="center" vertical="center" wrapText="1"/>
    </xf>
    <xf numFmtId="4" fontId="8" fillId="24" borderId="0" xfId="0" applyNumberFormat="1" applyFont="1" applyFill="1" applyBorder="1" applyAlignment="1">
      <alignment horizontal="center" vertical="center" wrapText="1"/>
    </xf>
    <xf numFmtId="4" fontId="8" fillId="24" borderId="10" xfId="0" applyNumberFormat="1" applyFont="1" applyFill="1" applyBorder="1" applyAlignment="1">
      <alignment horizontal="center" vertical="center" wrapText="1"/>
    </xf>
    <xf numFmtId="4" fontId="8" fillId="24" borderId="11" xfId="0" applyNumberFormat="1" applyFont="1" applyFill="1" applyBorder="1" applyAlignment="1">
      <alignment horizontal="center" vertical="center" wrapText="1"/>
    </xf>
    <xf numFmtId="4" fontId="8" fillId="24" borderId="4" xfId="0" applyNumberFormat="1" applyFont="1" applyFill="1" applyBorder="1" applyAlignment="1">
      <alignment horizontal="center" vertical="center" wrapText="1"/>
    </xf>
    <xf numFmtId="4" fontId="8" fillId="24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4" fontId="8" fillId="7" borderId="1" xfId="0" applyNumberFormat="1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41"/>
  <sheetViews>
    <sheetView tabSelected="1" zoomScaleNormal="100" workbookViewId="0">
      <selection activeCell="T21" sqref="T21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3.5703125" style="8" customWidth="1"/>
    <col min="4" max="4" width="12.140625" style="8" customWidth="1"/>
    <col min="5" max="5" width="15" style="8" customWidth="1"/>
    <col min="6" max="6" width="12.140625" style="8" customWidth="1"/>
    <col min="7" max="7" width="14.140625" style="8" customWidth="1"/>
    <col min="8" max="8" width="12.42578125" style="8" bestFit="1" customWidth="1"/>
    <col min="9" max="9" width="15" style="8" bestFit="1" customWidth="1"/>
    <col min="10" max="10" width="15.140625" style="8" customWidth="1"/>
    <col min="11" max="11" width="13.5703125" style="8" customWidth="1"/>
    <col min="12" max="13" width="12.7109375" style="8" customWidth="1"/>
    <col min="14" max="14" width="11.28515625" style="8" customWidth="1"/>
    <col min="15" max="15" width="12.5703125" style="8" customWidth="1"/>
    <col min="16" max="16" width="4.42578125" style="8" hidden="1" customWidth="1"/>
    <col min="17" max="17" width="8.28515625" style="8" hidden="1" customWidth="1"/>
    <col min="18" max="18" width="12.140625" style="8" customWidth="1"/>
    <col min="19" max="19" width="11.42578125" style="8" bestFit="1" customWidth="1"/>
    <col min="20" max="1019" width="9.140625" style="8" customWidth="1"/>
  </cols>
  <sheetData>
    <row r="1" spans="1:19" x14ac:dyDescent="0.25">
      <c r="A1" s="137" t="s">
        <v>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9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9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9" ht="27.7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7</v>
      </c>
      <c r="I4" s="140" t="s">
        <v>8</v>
      </c>
      <c r="J4" s="140"/>
      <c r="K4" s="141" t="s">
        <v>9</v>
      </c>
      <c r="L4" s="142"/>
      <c r="M4" s="143"/>
      <c r="N4" s="138"/>
    </row>
    <row r="5" spans="1:19" ht="71.2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  <c r="Q5" s="6"/>
    </row>
    <row r="6" spans="1:19" s="19" customFormat="1" ht="14.25" x14ac:dyDescent="0.25">
      <c r="A6" s="15" t="s">
        <v>15</v>
      </c>
      <c r="B6" s="16" t="s">
        <v>16</v>
      </c>
      <c r="C6" s="16"/>
      <c r="D6" s="17" t="s">
        <v>10</v>
      </c>
      <c r="E6" s="17">
        <v>4</v>
      </c>
      <c r="F6" s="18" t="s">
        <v>40</v>
      </c>
      <c r="G6" s="18" t="s">
        <v>41</v>
      </c>
      <c r="H6" s="105">
        <v>31372142.25</v>
      </c>
      <c r="I6" s="105">
        <v>29803535.109999999</v>
      </c>
      <c r="J6" s="105">
        <v>0</v>
      </c>
      <c r="K6" s="105">
        <v>1568607.14</v>
      </c>
      <c r="L6" s="105">
        <v>0</v>
      </c>
      <c r="M6" s="117">
        <v>0</v>
      </c>
      <c r="N6" s="106">
        <v>0</v>
      </c>
      <c r="P6" s="17"/>
      <c r="Q6" s="20"/>
      <c r="R6" s="28"/>
    </row>
    <row r="7" spans="1:19" s="19" customFormat="1" ht="14.25" customHeight="1" x14ac:dyDescent="0.25">
      <c r="A7" s="21" t="s">
        <v>17</v>
      </c>
      <c r="B7" s="22" t="s">
        <v>18</v>
      </c>
      <c r="C7" s="22"/>
      <c r="D7" s="23" t="s">
        <v>10</v>
      </c>
      <c r="E7" s="23">
        <v>4</v>
      </c>
      <c r="F7" s="24" t="s">
        <v>40</v>
      </c>
      <c r="G7" s="24" t="s">
        <v>41</v>
      </c>
      <c r="H7" s="107">
        <v>16297070.41</v>
      </c>
      <c r="I7" s="107">
        <v>15482216.890000001</v>
      </c>
      <c r="J7" s="107">
        <v>0</v>
      </c>
      <c r="K7" s="107">
        <v>814853.52</v>
      </c>
      <c r="L7" s="107">
        <v>0</v>
      </c>
      <c r="M7" s="102">
        <v>0</v>
      </c>
      <c r="N7" s="101">
        <v>0</v>
      </c>
      <c r="P7" s="23"/>
      <c r="Q7" s="20"/>
    </row>
    <row r="8" spans="1:19" s="19" customFormat="1" ht="14.25" customHeight="1" x14ac:dyDescent="0.25">
      <c r="A8" s="21" t="s">
        <v>42</v>
      </c>
      <c r="B8" s="22" t="s">
        <v>43</v>
      </c>
      <c r="C8" s="22"/>
      <c r="D8" s="23" t="s">
        <v>10</v>
      </c>
      <c r="E8" s="23">
        <v>4</v>
      </c>
      <c r="F8" s="24" t="s">
        <v>40</v>
      </c>
      <c r="G8" s="24" t="s">
        <v>41</v>
      </c>
      <c r="H8" s="107">
        <v>1309200</v>
      </c>
      <c r="I8" s="107">
        <v>1243740</v>
      </c>
      <c r="J8" s="107">
        <v>0</v>
      </c>
      <c r="K8" s="107">
        <v>0</v>
      </c>
      <c r="L8" s="107">
        <v>65460</v>
      </c>
      <c r="M8" s="102">
        <v>0</v>
      </c>
      <c r="N8" s="101">
        <v>0</v>
      </c>
      <c r="P8" s="23"/>
      <c r="Q8" s="20"/>
    </row>
    <row r="9" spans="1:19" s="19" customFormat="1" ht="14.25" x14ac:dyDescent="0.25">
      <c r="A9" s="21" t="s">
        <v>44</v>
      </c>
      <c r="B9" s="111" t="s">
        <v>103</v>
      </c>
      <c r="C9" s="22"/>
      <c r="D9" s="23" t="s">
        <v>12</v>
      </c>
      <c r="E9" s="25" t="s">
        <v>45</v>
      </c>
      <c r="F9" s="24" t="s">
        <v>46</v>
      </c>
      <c r="G9" s="24" t="s">
        <v>47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1">
        <v>0</v>
      </c>
      <c r="O9" s="19" t="s">
        <v>101</v>
      </c>
      <c r="P9" s="23"/>
      <c r="Q9" s="20"/>
    </row>
    <row r="10" spans="1:19" s="19" customFormat="1" ht="14.25" customHeight="1" x14ac:dyDescent="0.25">
      <c r="A10" s="150" t="s">
        <v>19</v>
      </c>
      <c r="B10" s="111" t="s">
        <v>104</v>
      </c>
      <c r="C10" s="22"/>
      <c r="D10" s="23" t="s">
        <v>12</v>
      </c>
      <c r="E10" s="25" t="s">
        <v>45</v>
      </c>
      <c r="F10" s="24" t="s">
        <v>46</v>
      </c>
      <c r="G10" s="24" t="s">
        <v>48</v>
      </c>
      <c r="H10" s="102">
        <v>20394422</v>
      </c>
      <c r="I10" s="102">
        <v>6894929.6799999997</v>
      </c>
      <c r="J10" s="102">
        <v>3878400.32</v>
      </c>
      <c r="K10" s="102">
        <v>0</v>
      </c>
      <c r="L10" s="102">
        <v>0</v>
      </c>
      <c r="M10" s="102">
        <v>9621092</v>
      </c>
      <c r="N10" s="131">
        <v>5376694</v>
      </c>
      <c r="O10" s="19" t="s">
        <v>98</v>
      </c>
      <c r="P10" s="23"/>
      <c r="Q10" s="20"/>
    </row>
    <row r="11" spans="1:19" s="19" customFormat="1" ht="14.25" customHeight="1" x14ac:dyDescent="0.25">
      <c r="A11" s="150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2500000</v>
      </c>
      <c r="I11" s="102">
        <v>1280000</v>
      </c>
      <c r="J11" s="102">
        <v>720000</v>
      </c>
      <c r="K11" s="102">
        <v>0</v>
      </c>
      <c r="L11" s="102">
        <v>0</v>
      </c>
      <c r="M11" s="102">
        <v>500000</v>
      </c>
      <c r="N11" s="102">
        <v>0</v>
      </c>
      <c r="O11" s="28" t="s">
        <v>102</v>
      </c>
      <c r="P11" s="23"/>
      <c r="Q11" s="20"/>
      <c r="R11" s="28"/>
      <c r="S11" s="28"/>
    </row>
    <row r="12" spans="1:19" s="19" customFormat="1" ht="14.25" x14ac:dyDescent="0.25">
      <c r="A12" s="150"/>
      <c r="B12" s="113" t="s">
        <v>105</v>
      </c>
      <c r="C12" s="26"/>
      <c r="D12" s="23" t="s">
        <v>12</v>
      </c>
      <c r="E12" s="25" t="s">
        <v>45</v>
      </c>
      <c r="F12" s="24" t="s">
        <v>46</v>
      </c>
      <c r="G12" s="24" t="s">
        <v>48</v>
      </c>
      <c r="H12" s="102">
        <v>250000</v>
      </c>
      <c r="I12" s="102">
        <v>80000</v>
      </c>
      <c r="J12" s="102">
        <v>45000</v>
      </c>
      <c r="K12" s="102">
        <v>0</v>
      </c>
      <c r="L12" s="102">
        <v>0</v>
      </c>
      <c r="M12" s="102">
        <v>125000</v>
      </c>
      <c r="N12" s="131">
        <v>52500</v>
      </c>
      <c r="O12" s="19" t="s">
        <v>99</v>
      </c>
      <c r="P12" s="23"/>
      <c r="Q12" s="20"/>
      <c r="R12" s="28"/>
    </row>
    <row r="13" spans="1:19" s="19" customFormat="1" ht="14.25" x14ac:dyDescent="0.25">
      <c r="A13" s="150"/>
      <c r="B13" s="113" t="s">
        <v>106</v>
      </c>
      <c r="C13" s="26"/>
      <c r="D13" s="23" t="s">
        <v>12</v>
      </c>
      <c r="E13" s="25" t="s">
        <v>45</v>
      </c>
      <c r="F13" s="24" t="s">
        <v>46</v>
      </c>
      <c r="G13" s="27" t="s">
        <v>48</v>
      </c>
      <c r="H13" s="102">
        <v>9923738.7800000012</v>
      </c>
      <c r="I13" s="102">
        <v>2858031.16</v>
      </c>
      <c r="J13" s="102">
        <v>1607648.8399999999</v>
      </c>
      <c r="K13" s="102">
        <v>0</v>
      </c>
      <c r="L13" s="102">
        <v>0</v>
      </c>
      <c r="M13" s="102">
        <v>5458058.7800000003</v>
      </c>
      <c r="N13" s="131">
        <v>4034242</v>
      </c>
      <c r="O13" s="19" t="s">
        <v>100</v>
      </c>
      <c r="P13" s="23"/>
      <c r="Q13" s="20"/>
      <c r="R13" s="28"/>
      <c r="S13" s="28"/>
    </row>
    <row r="14" spans="1:19" s="19" customFormat="1" ht="14.25" customHeight="1" x14ac:dyDescent="0.25">
      <c r="A14" s="150" t="s">
        <v>21</v>
      </c>
      <c r="B14" s="26" t="s">
        <v>22</v>
      </c>
      <c r="C14" s="26"/>
      <c r="D14" s="23" t="s">
        <v>20</v>
      </c>
      <c r="E14" s="23">
        <v>2</v>
      </c>
      <c r="F14" s="24" t="s">
        <v>49</v>
      </c>
      <c r="G14" s="24" t="s">
        <v>50</v>
      </c>
      <c r="H14" s="108">
        <v>37408000</v>
      </c>
      <c r="I14" s="108">
        <v>31796800</v>
      </c>
      <c r="J14" s="108">
        <v>2880400</v>
      </c>
      <c r="K14" s="108">
        <v>915.2</v>
      </c>
      <c r="L14" s="108">
        <v>1815600</v>
      </c>
      <c r="M14" s="118">
        <v>0</v>
      </c>
      <c r="N14" s="101">
        <v>0</v>
      </c>
      <c r="O14" s="28"/>
      <c r="P14" s="23"/>
      <c r="Q14" s="20"/>
    </row>
    <row r="15" spans="1:19" s="19" customFormat="1" ht="14.25" x14ac:dyDescent="0.25">
      <c r="A15" s="150"/>
      <c r="B15" s="29" t="s">
        <v>23</v>
      </c>
      <c r="C15" s="29"/>
      <c r="D15" s="17" t="s">
        <v>10</v>
      </c>
      <c r="E15" s="17">
        <v>4</v>
      </c>
      <c r="F15" s="18" t="s">
        <v>40</v>
      </c>
      <c r="G15" s="18" t="s">
        <v>41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17">
        <v>0</v>
      </c>
      <c r="N15" s="106">
        <v>0</v>
      </c>
      <c r="P15" s="17"/>
      <c r="Q15" s="20"/>
    </row>
    <row r="16" spans="1:19" s="19" customFormat="1" ht="14.25" x14ac:dyDescent="0.25">
      <c r="A16" s="150"/>
      <c r="B16" s="26" t="s">
        <v>51</v>
      </c>
      <c r="C16" s="26"/>
      <c r="D16" s="23" t="s">
        <v>20</v>
      </c>
      <c r="E16" s="23">
        <v>2</v>
      </c>
      <c r="F16" s="24" t="s">
        <v>49</v>
      </c>
      <c r="G16" s="24" t="s">
        <v>50</v>
      </c>
      <c r="H16" s="108">
        <v>10010000</v>
      </c>
      <c r="I16" s="108">
        <v>8508500</v>
      </c>
      <c r="J16" s="108">
        <v>1220960</v>
      </c>
      <c r="K16" s="107">
        <v>130.54</v>
      </c>
      <c r="L16" s="107">
        <v>150000</v>
      </c>
      <c r="M16" s="102">
        <v>0</v>
      </c>
      <c r="N16" s="101">
        <v>0</v>
      </c>
      <c r="P16" s="23" t="s">
        <v>20</v>
      </c>
      <c r="Q16" s="20">
        <f t="shared" ref="Q16:Q18" si="0">SUM(I16,J16)</f>
        <v>9729460</v>
      </c>
    </row>
    <row r="17" spans="1:18" s="34" customFormat="1" ht="14.25" hidden="1" x14ac:dyDescent="0.25">
      <c r="A17" s="150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33">
        <v>0</v>
      </c>
      <c r="P17" s="31" t="s">
        <v>20</v>
      </c>
      <c r="Q17" s="35">
        <f t="shared" si="0"/>
        <v>0</v>
      </c>
    </row>
    <row r="18" spans="1:18" ht="28.5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1"/>
      <c r="G18" s="11" t="s">
        <v>54</v>
      </c>
      <c r="H18" s="75">
        <v>5402350</v>
      </c>
      <c r="I18" s="75">
        <v>4592000</v>
      </c>
      <c r="J18" s="75">
        <v>0</v>
      </c>
      <c r="K18" s="75">
        <v>810.34705882353001</v>
      </c>
      <c r="L18" s="75">
        <v>0</v>
      </c>
      <c r="M18" s="120">
        <v>0</v>
      </c>
      <c r="N18" s="39">
        <v>0</v>
      </c>
      <c r="P18" s="10" t="s">
        <v>53</v>
      </c>
      <c r="Q18" s="14">
        <f t="shared" si="0"/>
        <v>4592000</v>
      </c>
    </row>
    <row r="19" spans="1:18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</row>
    <row r="21" spans="1:18" x14ac:dyDescent="0.25">
      <c r="A21" s="152" t="s">
        <v>83</v>
      </c>
      <c r="B21" s="152"/>
      <c r="C21" s="152"/>
      <c r="D21" s="152"/>
      <c r="E21" s="152"/>
      <c r="F21" s="152"/>
      <c r="H21" s="40"/>
      <c r="I21" s="97"/>
      <c r="J21" s="97"/>
      <c r="K21" s="97"/>
      <c r="L21" s="97"/>
      <c r="M21" s="97"/>
    </row>
    <row r="22" spans="1:18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41" t="s">
        <v>39</v>
      </c>
      <c r="H22" s="97"/>
      <c r="I22" s="129"/>
      <c r="J22" s="129"/>
      <c r="M22" s="97"/>
    </row>
    <row r="23" spans="1:18" ht="14.25" customHeight="1" x14ac:dyDescent="0.25">
      <c r="A23" s="138" t="s">
        <v>27</v>
      </c>
      <c r="B23" s="9" t="s">
        <v>10</v>
      </c>
      <c r="C23" s="92">
        <f>SUM(I6:I8)</f>
        <v>46529492</v>
      </c>
      <c r="D23" s="92">
        <v>0</v>
      </c>
      <c r="E23" s="92">
        <f>C23+D23</f>
        <v>46529492</v>
      </c>
      <c r="G23" s="43">
        <f>SUM(I6,I7,I8,I15,J6,J7,J8,J15)</f>
        <v>46529492</v>
      </c>
      <c r="H23" s="97"/>
      <c r="I23" s="130"/>
      <c r="J23" s="130"/>
      <c r="M23" s="97"/>
      <c r="R23" s="97"/>
    </row>
    <row r="24" spans="1:18" x14ac:dyDescent="0.25">
      <c r="A24" s="138"/>
      <c r="B24" s="9" t="s">
        <v>13</v>
      </c>
      <c r="C24" s="92">
        <f>4592*1000</f>
        <v>4592000</v>
      </c>
      <c r="D24" s="92">
        <v>0</v>
      </c>
      <c r="E24" s="92">
        <f>C24+D24</f>
        <v>4592000</v>
      </c>
      <c r="G24" s="43">
        <f>SUM(I18,J18)</f>
        <v>4592000</v>
      </c>
    </row>
    <row r="25" spans="1:18" x14ac:dyDescent="0.25">
      <c r="A25" s="138"/>
      <c r="B25" s="4" t="s">
        <v>28</v>
      </c>
      <c r="C25" s="93">
        <f>SUM(C23+C24)</f>
        <v>51121492</v>
      </c>
      <c r="D25" s="93">
        <f t="shared" ref="D25:E25" si="1">SUM(D23+D24)</f>
        <v>0</v>
      </c>
      <c r="E25" s="93">
        <f t="shared" si="1"/>
        <v>51121492</v>
      </c>
      <c r="G25" s="34"/>
      <c r="H25" s="97"/>
      <c r="I25" s="97"/>
      <c r="J25" s="97"/>
      <c r="K25" s="97"/>
      <c r="L25" s="97"/>
      <c r="M25" s="97"/>
    </row>
    <row r="26" spans="1:18" ht="14.25" customHeight="1" x14ac:dyDescent="0.25">
      <c r="A26" s="138" t="s">
        <v>29</v>
      </c>
      <c r="B26" s="9" t="s">
        <v>11</v>
      </c>
      <c r="C26" s="61">
        <f>I14+I16</f>
        <v>40305300</v>
      </c>
      <c r="D26" s="61">
        <f>J14+J16</f>
        <v>4101360</v>
      </c>
      <c r="E26" s="61">
        <f>C26+D26</f>
        <v>44406660</v>
      </c>
      <c r="G26" s="43">
        <f>SUM(I14,I16,I17,J14,J16,J17)</f>
        <v>44406660</v>
      </c>
    </row>
    <row r="27" spans="1:18" x14ac:dyDescent="0.25">
      <c r="A27" s="138"/>
      <c r="B27" s="4" t="s">
        <v>30</v>
      </c>
      <c r="C27" s="93">
        <f>C26</f>
        <v>40305300</v>
      </c>
      <c r="D27" s="93">
        <f>D26</f>
        <v>4101360</v>
      </c>
      <c r="E27" s="93">
        <f>E26</f>
        <v>44406660</v>
      </c>
      <c r="G27" s="34"/>
    </row>
    <row r="28" spans="1:18" ht="14.25" customHeight="1" x14ac:dyDescent="0.25">
      <c r="A28" s="138" t="s">
        <v>31</v>
      </c>
      <c r="B28" s="13" t="s">
        <v>12</v>
      </c>
      <c r="C28" s="81">
        <f>SUM(I9:I13)</f>
        <v>11112960.84</v>
      </c>
      <c r="D28" s="81">
        <f>SUM(J9:J13)</f>
        <v>6251049.1600000001</v>
      </c>
      <c r="E28" s="92">
        <f>C28+D28</f>
        <v>17364010</v>
      </c>
      <c r="G28" s="43">
        <f>SUM(I9,I10,I12,I13,J9,J10,J12,J13)</f>
        <v>15364010</v>
      </c>
    </row>
    <row r="29" spans="1:18" x14ac:dyDescent="0.25">
      <c r="A29" s="138"/>
      <c r="B29" s="4" t="s">
        <v>32</v>
      </c>
      <c r="C29" s="82">
        <f>C28</f>
        <v>11112960.84</v>
      </c>
      <c r="D29" s="82">
        <f t="shared" ref="D29:E29" si="2">D28</f>
        <v>6251049.1600000001</v>
      </c>
      <c r="E29" s="93">
        <f t="shared" si="2"/>
        <v>17364010</v>
      </c>
      <c r="G29" s="34"/>
    </row>
    <row r="30" spans="1:18" x14ac:dyDescent="0.25">
      <c r="A30" s="7" t="s">
        <v>33</v>
      </c>
      <c r="B30" s="4" t="s">
        <v>14</v>
      </c>
      <c r="C30" s="91">
        <f>C29+C27+C25</f>
        <v>102539752.84</v>
      </c>
      <c r="D30" s="91">
        <f t="shared" ref="D30:E30" si="3">D29+D27+D25</f>
        <v>10352409.16</v>
      </c>
      <c r="E30" s="94">
        <f t="shared" si="3"/>
        <v>112892162</v>
      </c>
      <c r="G30" s="43">
        <f>SUM(G23:G29)</f>
        <v>110892162</v>
      </c>
    </row>
    <row r="32" spans="1:18" x14ac:dyDescent="0.25">
      <c r="A32" s="166" t="s">
        <v>55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57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54" t="s">
        <v>7</v>
      </c>
      <c r="F34" s="155" t="s">
        <v>59</v>
      </c>
      <c r="G34" s="155"/>
      <c r="H34" s="156" t="s">
        <v>9</v>
      </c>
      <c r="I34" s="157"/>
      <c r="J34" s="158"/>
      <c r="K34" s="153"/>
    </row>
    <row r="35" spans="1:11" x14ac:dyDescent="0.25">
      <c r="A35" s="167"/>
      <c r="B35" s="167"/>
      <c r="C35" s="167"/>
      <c r="D35" s="167"/>
      <c r="E35" s="154"/>
      <c r="F35" s="155"/>
      <c r="G35" s="155"/>
      <c r="H35" s="159"/>
      <c r="I35" s="160"/>
      <c r="J35" s="161"/>
      <c r="K35" s="153"/>
    </row>
    <row r="36" spans="1:11" ht="51" x14ac:dyDescent="0.25">
      <c r="A36" s="167"/>
      <c r="B36" s="167"/>
      <c r="C36" s="167"/>
      <c r="D36" s="167"/>
      <c r="E36" s="154"/>
      <c r="F36" s="114" t="s">
        <v>60</v>
      </c>
      <c r="G36" s="115" t="s">
        <v>61</v>
      </c>
      <c r="H36" s="114" t="s">
        <v>62</v>
      </c>
      <c r="I36" s="11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4">SUM(H14,H16,H17)</f>
        <v>47418000</v>
      </c>
      <c r="F37" s="62">
        <f t="shared" si="4"/>
        <v>40305300</v>
      </c>
      <c r="G37" s="62">
        <f t="shared" si="4"/>
        <v>4101360</v>
      </c>
      <c r="H37" s="62">
        <f t="shared" si="4"/>
        <v>1045.74</v>
      </c>
      <c r="I37" s="62">
        <f t="shared" si="4"/>
        <v>1965600</v>
      </c>
      <c r="J37" s="122">
        <v>0</v>
      </c>
      <c r="K37" s="71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33068160.780000001</v>
      </c>
      <c r="F38" s="84">
        <f>SUM(I10:I13)</f>
        <v>11112960.84</v>
      </c>
      <c r="G38" s="84">
        <f>SUM(J10:J13)</f>
        <v>6251049.1600000001</v>
      </c>
      <c r="H38" s="84">
        <f t="shared" ref="H38:I38" si="5">SUM(K10,K12,K13)</f>
        <v>0</v>
      </c>
      <c r="I38" s="84">
        <f t="shared" si="5"/>
        <v>0</v>
      </c>
      <c r="J38" s="121">
        <f>SUM(M10:M13)</f>
        <v>15704150.780000001</v>
      </c>
      <c r="K38" s="71">
        <f>SUM(N10,N12,N13)</f>
        <v>9463436</v>
      </c>
    </row>
    <row r="39" spans="1:11" ht="15.75" customHeight="1" x14ac:dyDescent="0.25">
      <c r="A39" s="165"/>
      <c r="B39" s="50" t="s">
        <v>45</v>
      </c>
      <c r="C39" s="50" t="s">
        <v>46</v>
      </c>
      <c r="D39" s="50" t="s">
        <v>47</v>
      </c>
      <c r="E39" s="84">
        <f t="shared" ref="E39:I39" si="6">SUM(H9)</f>
        <v>0</v>
      </c>
      <c r="F39" s="84">
        <f t="shared" si="6"/>
        <v>0</v>
      </c>
      <c r="G39" s="84">
        <f t="shared" si="6"/>
        <v>0</v>
      </c>
      <c r="H39" s="84">
        <f t="shared" si="6"/>
        <v>0</v>
      </c>
      <c r="I39" s="84">
        <f t="shared" si="6"/>
        <v>0</v>
      </c>
      <c r="J39" s="122">
        <v>0</v>
      </c>
      <c r="K39" s="71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7">SUM(H6,H7,H8,H15)</f>
        <v>48978412.659999996</v>
      </c>
      <c r="F40" s="71">
        <f t="shared" si="7"/>
        <v>46529492</v>
      </c>
      <c r="G40" s="71">
        <f t="shared" si="7"/>
        <v>0</v>
      </c>
      <c r="H40" s="71">
        <f t="shared" si="7"/>
        <v>2383460.66</v>
      </c>
      <c r="I40" s="71">
        <f t="shared" si="7"/>
        <v>65460</v>
      </c>
      <c r="J40" s="122">
        <v>0</v>
      </c>
      <c r="K40" s="71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71">
        <f t="shared" ref="E41:I41" si="8">SUM(H18)</f>
        <v>5402350</v>
      </c>
      <c r="F41" s="71">
        <f t="shared" si="8"/>
        <v>4592000</v>
      </c>
      <c r="G41" s="71">
        <f t="shared" si="8"/>
        <v>0</v>
      </c>
      <c r="H41" s="71">
        <f t="shared" si="8"/>
        <v>810.34705882353001</v>
      </c>
      <c r="I41" s="71">
        <f t="shared" si="8"/>
        <v>0</v>
      </c>
      <c r="J41" s="122">
        <v>0</v>
      </c>
      <c r="K41" s="71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F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L41"/>
  <sheetViews>
    <sheetView zoomScaleNormal="100" workbookViewId="0">
      <selection activeCell="B11" sqref="B11:N11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f>I6/0.95</f>
        <v>0</v>
      </c>
      <c r="I6" s="75">
        <v>0</v>
      </c>
      <c r="J6" s="75">
        <v>0</v>
      </c>
      <c r="K6" s="75">
        <f>H6*0.05</f>
        <v>0</v>
      </c>
      <c r="L6" s="75">
        <v>0</v>
      </c>
      <c r="M6" s="120">
        <v>0</v>
      </c>
      <c r="N6" s="39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4" t="s">
        <v>40</v>
      </c>
      <c r="G7" s="11" t="s">
        <v>41</v>
      </c>
      <c r="H7" s="75">
        <f>I7/0.95</f>
        <v>0</v>
      </c>
      <c r="I7" s="75">
        <v>0</v>
      </c>
      <c r="J7" s="75">
        <v>0</v>
      </c>
      <c r="K7" s="75">
        <f>H7*0.05</f>
        <v>0</v>
      </c>
      <c r="L7" s="75">
        <v>0</v>
      </c>
      <c r="M7" s="120">
        <v>0</v>
      </c>
      <c r="N7" s="39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4" t="s">
        <v>40</v>
      </c>
      <c r="G8" s="11" t="s">
        <v>41</v>
      </c>
      <c r="H8" s="75">
        <f>I8/0.95</f>
        <v>0</v>
      </c>
      <c r="I8" s="75">
        <v>0</v>
      </c>
      <c r="J8" s="75">
        <v>0</v>
      </c>
      <c r="K8" s="75">
        <f>H8*0.025</f>
        <v>0</v>
      </c>
      <c r="L8" s="75">
        <f>H8*0.025</f>
        <v>0</v>
      </c>
      <c r="M8" s="120">
        <v>0</v>
      </c>
      <c r="N8" s="39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4" t="s">
        <v>46</v>
      </c>
      <c r="G9" s="11" t="s">
        <v>47</v>
      </c>
      <c r="H9" s="75">
        <v>0</v>
      </c>
      <c r="I9" s="75"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39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4" t="s">
        <v>46</v>
      </c>
      <c r="G10" s="11" t="s">
        <v>48</v>
      </c>
      <c r="H10" s="75">
        <v>0</v>
      </c>
      <c r="I10" s="75"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39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4" t="s">
        <v>46</v>
      </c>
      <c r="G12" s="11" t="s">
        <v>48</v>
      </c>
      <c r="H12" s="75">
        <v>0</v>
      </c>
      <c r="I12" s="75"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39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4" t="s">
        <v>46</v>
      </c>
      <c r="G13" s="11" t="s">
        <v>48</v>
      </c>
      <c r="H13" s="101">
        <v>0</v>
      </c>
      <c r="I13" s="75"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39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f>H14/2*0.1</f>
        <v>0</v>
      </c>
      <c r="K14" s="75">
        <f>H14/2*0.05</f>
        <v>0</v>
      </c>
      <c r="L14" s="75">
        <f>H14/2*0.15</f>
        <v>0</v>
      </c>
      <c r="M14" s="120">
        <v>0</v>
      </c>
      <c r="N14" s="39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f>H15*0.05</f>
        <v>0</v>
      </c>
      <c r="M15" s="120">
        <v>0</v>
      </c>
      <c r="N15" s="39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75">
        <v>0</v>
      </c>
      <c r="I16" s="75">
        <v>0</v>
      </c>
      <c r="J16" s="75">
        <f>H16*0.1</f>
        <v>0</v>
      </c>
      <c r="K16" s="75">
        <f>H16*0.05</f>
        <v>0</v>
      </c>
      <c r="L16" s="75">
        <v>0</v>
      </c>
      <c r="M16" s="120">
        <v>0</v>
      </c>
      <c r="N16" s="39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33">
        <f>I17/0.85</f>
        <v>0</v>
      </c>
      <c r="I17" s="33">
        <v>0</v>
      </c>
      <c r="J17" s="33">
        <v>0</v>
      </c>
      <c r="K17" s="33">
        <v>0</v>
      </c>
      <c r="L17" s="33">
        <f>H17*0.15</f>
        <v>0</v>
      </c>
      <c r="M17" s="119"/>
      <c r="N17" s="33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39">
        <f>I18/0.85</f>
        <v>0</v>
      </c>
      <c r="I18" s="39">
        <v>0</v>
      </c>
      <c r="J18" s="39">
        <v>0</v>
      </c>
      <c r="K18" s="39">
        <f>H18*0.15</f>
        <v>0</v>
      </c>
      <c r="L18" s="39">
        <v>0</v>
      </c>
      <c r="M18" s="120">
        <v>0</v>
      </c>
      <c r="N18" s="3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85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38">
        <f>SUM(I6,I7,I8,I15)</f>
        <v>0</v>
      </c>
      <c r="D23" s="38">
        <f>SUM(J6,J7,J8,J15,K6,K7,K8,K15,L6,L7,L8,L15)</f>
        <v>0</v>
      </c>
      <c r="E23" s="38">
        <f>SUM(H6,H7,H8,H15)</f>
        <v>0</v>
      </c>
    </row>
    <row r="24" spans="1:16" x14ac:dyDescent="0.25">
      <c r="A24" s="138"/>
      <c r="B24" s="9" t="s">
        <v>13</v>
      </c>
      <c r="C24" s="38">
        <f>SUM((I18))</f>
        <v>0</v>
      </c>
      <c r="D24" s="38">
        <f>SUM(J18,K18,L18)</f>
        <v>0</v>
      </c>
      <c r="E24" s="38">
        <f>SUM(H18)</f>
        <v>0</v>
      </c>
    </row>
    <row r="25" spans="1:16" x14ac:dyDescent="0.25">
      <c r="A25" s="138"/>
      <c r="B25" s="4" t="s">
        <v>28</v>
      </c>
      <c r="C25" s="42">
        <f>SUM(C23:C24)</f>
        <v>0</v>
      </c>
      <c r="D25" s="42">
        <f>SUM(D23:D24)</f>
        <v>0</v>
      </c>
      <c r="E25" s="42">
        <f>SUM(E23,E24)</f>
        <v>0</v>
      </c>
    </row>
    <row r="26" spans="1:16" ht="14.25" customHeight="1" x14ac:dyDescent="0.25">
      <c r="A26" s="138" t="s">
        <v>29</v>
      </c>
      <c r="B26" s="9" t="s">
        <v>11</v>
      </c>
      <c r="C26" s="38">
        <f>SUM(I14,I16,I17)</f>
        <v>0</v>
      </c>
      <c r="D26" s="38">
        <f>SUM(J14,J16,J17,K14,K16,K17,L14,L16,L17)</f>
        <v>0</v>
      </c>
      <c r="E26" s="38">
        <f>SUM(H14,H16,H17)</f>
        <v>0</v>
      </c>
    </row>
    <row r="27" spans="1:16" x14ac:dyDescent="0.25">
      <c r="A27" s="138"/>
      <c r="B27" s="4" t="s">
        <v>30</v>
      </c>
      <c r="C27" s="42">
        <f>SUM(C26)</f>
        <v>0</v>
      </c>
      <c r="D27" s="42">
        <f>SUM(D26)</f>
        <v>0</v>
      </c>
      <c r="E27" s="4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56">
        <f>SUM(I9,I10,I12,I13)</f>
        <v>0</v>
      </c>
      <c r="D28" s="38">
        <f>SUM(J9,J10,J12,J13,K9,K10,K12,K13,L9,L10,L12,L13)</f>
        <v>0</v>
      </c>
      <c r="E28" s="38">
        <f>SUM(H9,H10,H12,H13)</f>
        <v>0</v>
      </c>
    </row>
    <row r="29" spans="1:16" x14ac:dyDescent="0.25">
      <c r="A29" s="138"/>
      <c r="B29" s="4" t="s">
        <v>32</v>
      </c>
      <c r="C29" s="42">
        <f>SUM(C28)</f>
        <v>0</v>
      </c>
      <c r="D29" s="42">
        <f>SUM(D28)</f>
        <v>0</v>
      </c>
      <c r="E29" s="42">
        <f>SUM(E28)</f>
        <v>0</v>
      </c>
    </row>
    <row r="30" spans="1:16" x14ac:dyDescent="0.25">
      <c r="A30" s="7" t="s">
        <v>33</v>
      </c>
      <c r="B30" s="4" t="s">
        <v>14</v>
      </c>
      <c r="C30" s="57">
        <f>C25+C27+C29</f>
        <v>0</v>
      </c>
      <c r="D30" s="57">
        <f>D25+D27+D29</f>
        <v>0</v>
      </c>
      <c r="E30" s="57">
        <f>E25+E27+E29</f>
        <v>0</v>
      </c>
    </row>
    <row r="32" spans="1:16" x14ac:dyDescent="0.25">
      <c r="A32" s="166" t="s">
        <v>65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4</v>
      </c>
      <c r="C33" s="167" t="s">
        <v>5</v>
      </c>
      <c r="D33" s="167" t="s">
        <v>58</v>
      </c>
      <c r="E33" s="162" t="s">
        <v>89</v>
      </c>
      <c r="F33" s="163"/>
      <c r="G33" s="163"/>
      <c r="H33" s="163"/>
      <c r="I33" s="163"/>
      <c r="J33" s="164"/>
      <c r="K33" s="153" t="s">
        <v>90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63.75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1">SUM(H10,H12,H13)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122">
        <v>0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4">SUM(H18)</f>
        <v>0</v>
      </c>
      <c r="F41" s="49">
        <f t="shared" si="4"/>
        <v>0</v>
      </c>
      <c r="G41" s="49">
        <f t="shared" si="4"/>
        <v>0</v>
      </c>
      <c r="H41" s="49">
        <f t="shared" si="4"/>
        <v>0</v>
      </c>
      <c r="I41" s="49">
        <f t="shared" si="4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41"/>
  <sheetViews>
    <sheetView zoomScaleNormal="100" workbookViewId="0">
      <selection activeCell="B11" sqref="B11:N11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" style="8" customWidth="1"/>
    <col min="8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66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74" t="s">
        <v>41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72" t="s">
        <v>41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120">
        <v>0</v>
      </c>
      <c r="N7" s="64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72" t="s">
        <v>41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120">
        <v>0</v>
      </c>
      <c r="N8" s="64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72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64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72" t="s">
        <v>48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120">
        <v>0</v>
      </c>
      <c r="N10" s="64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72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120">
        <v>0</v>
      </c>
      <c r="N12" s="64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72" t="s">
        <v>48</v>
      </c>
      <c r="H13" s="102">
        <v>0</v>
      </c>
      <c r="I13" s="102">
        <v>0</v>
      </c>
      <c r="J13" s="80">
        <v>0</v>
      </c>
      <c r="K13" s="80">
        <v>0</v>
      </c>
      <c r="L13" s="80">
        <v>0</v>
      </c>
      <c r="M13" s="120">
        <v>0</v>
      </c>
      <c r="N13" s="64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72" t="s">
        <v>50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120">
        <v>0</v>
      </c>
      <c r="N14" s="64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72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64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72" t="s">
        <v>50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120">
        <v>0</v>
      </c>
      <c r="N16" s="64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73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74" t="s">
        <v>54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120">
        <v>0</v>
      </c>
      <c r="N18" s="67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91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v>0</v>
      </c>
      <c r="D23" s="68">
        <v>0</v>
      </c>
      <c r="E23" s="68">
        <f t="shared" ref="E23:E30" si="0">C23+D23</f>
        <v>0</v>
      </c>
    </row>
    <row r="24" spans="1:16" x14ac:dyDescent="0.25">
      <c r="A24" s="138"/>
      <c r="B24" s="9" t="s">
        <v>13</v>
      </c>
      <c r="C24" s="68">
        <f>I18</f>
        <v>0</v>
      </c>
      <c r="D24" s="68">
        <v>0</v>
      </c>
      <c r="E24" s="68">
        <f t="shared" si="0"/>
        <v>0</v>
      </c>
    </row>
    <row r="25" spans="1:16" x14ac:dyDescent="0.25">
      <c r="A25" s="138"/>
      <c r="B25" s="4" t="s">
        <v>28</v>
      </c>
      <c r="C25" s="92">
        <v>0</v>
      </c>
      <c r="D25" s="92">
        <f>SUM(D23:D24)</f>
        <v>0</v>
      </c>
      <c r="E25" s="92">
        <f>SUM(E23:E24)</f>
        <v>0</v>
      </c>
    </row>
    <row r="26" spans="1:16" ht="14.25" customHeight="1" x14ac:dyDescent="0.25">
      <c r="A26" s="138" t="s">
        <v>29</v>
      </c>
      <c r="B26" s="9" t="s">
        <v>11</v>
      </c>
      <c r="C26" s="68">
        <f>SUM(I14,I16,I17)</f>
        <v>0</v>
      </c>
      <c r="D26" s="68">
        <f>SUM(J14,J16,J17,K14,K16,K17,L14,L16,L17)</f>
        <v>0</v>
      </c>
      <c r="E26" s="68">
        <f t="shared" si="0"/>
        <v>0</v>
      </c>
    </row>
    <row r="27" spans="1:16" x14ac:dyDescent="0.25">
      <c r="A27" s="138"/>
      <c r="B27" s="4" t="s">
        <v>30</v>
      </c>
      <c r="C27" s="92">
        <f>SUM(C26)</f>
        <v>0</v>
      </c>
      <c r="D27" s="92">
        <f>SUM(D26)</f>
        <v>0</v>
      </c>
      <c r="E27" s="9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63">
        <f>SUM(I9:I13)</f>
        <v>0</v>
      </c>
      <c r="D28" s="63">
        <f>SUM(J9:J13)</f>
        <v>0</v>
      </c>
      <c r="E28" s="63">
        <f>C28+D28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68">
        <f t="shared" si="0"/>
        <v>0</v>
      </c>
    </row>
    <row r="30" spans="1:16" x14ac:dyDescent="0.25">
      <c r="A30" s="7" t="s">
        <v>33</v>
      </c>
      <c r="B30" s="4" t="s">
        <v>14</v>
      </c>
      <c r="C30" s="95">
        <f>C25+C27+C29</f>
        <v>0</v>
      </c>
      <c r="D30" s="95">
        <f>D25+D27+D29</f>
        <v>0</v>
      </c>
      <c r="E30" s="96">
        <f t="shared" si="0"/>
        <v>0</v>
      </c>
    </row>
    <row r="32" spans="1:16" x14ac:dyDescent="0.25">
      <c r="A32" s="166" t="s">
        <v>67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57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63.75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f t="shared" ref="E37:I37" si="1">SUM(H14,H16,H17)</f>
        <v>0</v>
      </c>
      <c r="F37" s="49">
        <f t="shared" si="1"/>
        <v>0</v>
      </c>
      <c r="G37" s="49">
        <f t="shared" si="1"/>
        <v>0</v>
      </c>
      <c r="H37" s="49">
        <f t="shared" si="1"/>
        <v>0</v>
      </c>
      <c r="I37" s="49">
        <f t="shared" si="1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2">SUM(H10,H12,H13)</f>
        <v>0</v>
      </c>
      <c r="F38" s="49">
        <f t="shared" si="2"/>
        <v>0</v>
      </c>
      <c r="G38" s="49">
        <f t="shared" si="2"/>
        <v>0</v>
      </c>
      <c r="H38" s="49">
        <f t="shared" si="2"/>
        <v>0</v>
      </c>
      <c r="I38" s="49">
        <f t="shared" si="2"/>
        <v>0</v>
      </c>
      <c r="J38" s="122">
        <v>0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49">
        <f t="shared" ref="E39:I39" si="3">SUM(H9)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4">SUM(H6,H7,H8,H15)</f>
        <v>0</v>
      </c>
      <c r="F40" s="71">
        <f t="shared" si="4"/>
        <v>0</v>
      </c>
      <c r="G40" s="71">
        <f t="shared" si="4"/>
        <v>0</v>
      </c>
      <c r="H40" s="71">
        <f t="shared" si="4"/>
        <v>0</v>
      </c>
      <c r="I40" s="71">
        <f t="shared" si="4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5">SUM(H18)</f>
        <v>0</v>
      </c>
      <c r="F41" s="49">
        <f t="shared" si="5"/>
        <v>0</v>
      </c>
      <c r="G41" s="49">
        <f t="shared" si="5"/>
        <v>0</v>
      </c>
      <c r="H41" s="49">
        <f t="shared" si="5"/>
        <v>0</v>
      </c>
      <c r="I41" s="49">
        <f t="shared" si="5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L41"/>
  <sheetViews>
    <sheetView zoomScaleNormal="100" workbookViewId="0">
      <selection activeCell="I12" sqref="I12:J12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.7109375" style="8" customWidth="1"/>
    <col min="8" max="8" width="13" style="8" customWidth="1"/>
    <col min="9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4" width="12" style="8" customWidth="1"/>
    <col min="15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68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120">
        <v>0</v>
      </c>
      <c r="N6" s="39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120">
        <v>0</v>
      </c>
      <c r="N7" s="39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120">
        <v>0</v>
      </c>
      <c r="N8" s="39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39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104">
        <v>11096198</v>
      </c>
      <c r="I10" s="80">
        <v>3919498</v>
      </c>
      <c r="J10" s="80">
        <v>2204720</v>
      </c>
      <c r="K10" s="80">
        <v>0</v>
      </c>
      <c r="L10" s="80">
        <v>0</v>
      </c>
      <c r="M10" s="80">
        <v>4971980</v>
      </c>
      <c r="N10" s="120">
        <f>16472892-H10</f>
        <v>5376694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250000</v>
      </c>
      <c r="I12" s="80">
        <v>80000</v>
      </c>
      <c r="J12" s="80">
        <v>45000</v>
      </c>
      <c r="K12" s="80">
        <v>0</v>
      </c>
      <c r="L12" s="80">
        <v>0</v>
      </c>
      <c r="M12" s="80">
        <v>125000</v>
      </c>
      <c r="N12" s="120">
        <f>302500-H12</f>
        <v>52500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4640141</v>
      </c>
      <c r="I13" s="102">
        <v>1336355</v>
      </c>
      <c r="J13" s="80">
        <v>751706</v>
      </c>
      <c r="K13" s="80">
        <v>0</v>
      </c>
      <c r="L13" s="80">
        <v>0</v>
      </c>
      <c r="M13" s="80">
        <v>2552080</v>
      </c>
      <c r="N13" s="120">
        <f>8674383-H13</f>
        <v>4034242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4">
        <f>2940*1000</f>
        <v>2940000</v>
      </c>
      <c r="I14" s="64">
        <f>2499*1000</f>
        <v>2499000</v>
      </c>
      <c r="J14" s="64">
        <f>147*1000</f>
        <v>147000</v>
      </c>
      <c r="K14" s="64">
        <f>73.5*1000</f>
        <v>73500</v>
      </c>
      <c r="L14" s="64">
        <f>220.5*1000</f>
        <v>220500</v>
      </c>
      <c r="M14" s="120">
        <v>0</v>
      </c>
      <c r="N14" s="39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39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64">
        <v>1000</v>
      </c>
      <c r="I16" s="64">
        <f>850*1000</f>
        <v>850000</v>
      </c>
      <c r="J16" s="64">
        <f>72.31*1000</f>
        <v>72310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v>0</v>
      </c>
      <c r="I18" s="69">
        <v>0</v>
      </c>
      <c r="J18" s="69">
        <v>0</v>
      </c>
      <c r="K18" s="69">
        <f>H18*0.15</f>
        <v>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92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SUM(I6:I8)+I15</f>
        <v>0</v>
      </c>
      <c r="D23" s="68">
        <v>0</v>
      </c>
      <c r="E23" s="68">
        <f t="shared" ref="E23:E28" si="0">C23+D23</f>
        <v>0</v>
      </c>
    </row>
    <row r="24" spans="1:16" x14ac:dyDescent="0.25">
      <c r="A24" s="138"/>
      <c r="B24" s="9" t="s">
        <v>13</v>
      </c>
      <c r="C24" s="68">
        <v>0</v>
      </c>
      <c r="D24" s="68">
        <v>0</v>
      </c>
      <c r="E24" s="68">
        <f t="shared" si="0"/>
        <v>0</v>
      </c>
    </row>
    <row r="25" spans="1:16" x14ac:dyDescent="0.25">
      <c r="A25" s="138"/>
      <c r="B25" s="4" t="s">
        <v>28</v>
      </c>
      <c r="C25" s="92">
        <f>C24+C23</f>
        <v>0</v>
      </c>
      <c r="D25" s="92">
        <f>SUM(D23:D24)</f>
        <v>0</v>
      </c>
      <c r="E25" s="92">
        <f>C25+D25</f>
        <v>0</v>
      </c>
    </row>
    <row r="26" spans="1:16" ht="14.25" customHeight="1" x14ac:dyDescent="0.25">
      <c r="A26" s="138" t="s">
        <v>29</v>
      </c>
      <c r="B26" s="9" t="s">
        <v>11</v>
      </c>
      <c r="C26" s="63">
        <f>I14+I16</f>
        <v>3349000</v>
      </c>
      <c r="D26" s="63">
        <f>J14+J16</f>
        <v>219310</v>
      </c>
      <c r="E26" s="63">
        <f t="shared" si="0"/>
        <v>3568310</v>
      </c>
    </row>
    <row r="27" spans="1:16" x14ac:dyDescent="0.25">
      <c r="A27" s="138"/>
      <c r="B27" s="4" t="s">
        <v>30</v>
      </c>
      <c r="C27" s="92">
        <f>C26</f>
        <v>3349000</v>
      </c>
      <c r="D27" s="92">
        <f t="shared" ref="D27:E27" si="1">D26</f>
        <v>219310</v>
      </c>
      <c r="E27" s="92">
        <f t="shared" si="1"/>
        <v>3568310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5335853</v>
      </c>
      <c r="D28" s="79">
        <f>SUM(J9:J13)</f>
        <v>3001426</v>
      </c>
      <c r="E28" s="78">
        <f t="shared" si="0"/>
        <v>8337279</v>
      </c>
    </row>
    <row r="29" spans="1:16" x14ac:dyDescent="0.25">
      <c r="A29" s="138"/>
      <c r="B29" s="4" t="s">
        <v>32</v>
      </c>
      <c r="C29" s="81">
        <f>C28</f>
        <v>5335853</v>
      </c>
      <c r="D29" s="81">
        <f t="shared" ref="D29:E29" si="2">D28</f>
        <v>3001426</v>
      </c>
      <c r="E29" s="81">
        <f t="shared" si="2"/>
        <v>8337279</v>
      </c>
    </row>
    <row r="30" spans="1:16" x14ac:dyDescent="0.25">
      <c r="A30" s="7" t="s">
        <v>33</v>
      </c>
      <c r="B30" s="4" t="s">
        <v>14</v>
      </c>
      <c r="C30" s="83">
        <f>C25+C27+C29</f>
        <v>8684853</v>
      </c>
      <c r="D30" s="83">
        <f>D25+D27+D29</f>
        <v>3220736</v>
      </c>
      <c r="E30" s="83">
        <f>C30+D30</f>
        <v>11905589</v>
      </c>
    </row>
    <row r="32" spans="1:16" x14ac:dyDescent="0.25">
      <c r="A32" s="166" t="s">
        <v>69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4</v>
      </c>
      <c r="C33" s="167" t="s">
        <v>5</v>
      </c>
      <c r="D33" s="167" t="s">
        <v>58</v>
      </c>
      <c r="E33" s="162" t="s">
        <v>81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51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f t="shared" ref="E37:I37" si="3">SUM(H14,H16,H17)</f>
        <v>2941000</v>
      </c>
      <c r="F37" s="49">
        <f t="shared" si="3"/>
        <v>3349000</v>
      </c>
      <c r="G37" s="49">
        <f t="shared" si="3"/>
        <v>219310</v>
      </c>
      <c r="H37" s="49">
        <f t="shared" si="3"/>
        <v>109650</v>
      </c>
      <c r="I37" s="49">
        <f t="shared" si="3"/>
        <v>262040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84">
        <f>SUM(H10,H12,H13+H11)</f>
        <v>15986339</v>
      </c>
      <c r="F38" s="84">
        <f>SUM(I10:I13)</f>
        <v>5335853</v>
      </c>
      <c r="G38" s="84">
        <f>SUM(J10:J13)</f>
        <v>3001426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7649060</v>
      </c>
      <c r="K38" s="49">
        <f>SUM(N10,N12,N13)</f>
        <v>9463436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0</v>
      </c>
      <c r="F40" s="71">
        <f t="shared" si="6"/>
        <v>0</v>
      </c>
      <c r="G40" s="71">
        <f t="shared" si="6"/>
        <v>0</v>
      </c>
      <c r="H40" s="71">
        <f t="shared" si="6"/>
        <v>0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0</v>
      </c>
      <c r="F41" s="49">
        <f t="shared" si="7"/>
        <v>0</v>
      </c>
      <c r="G41" s="49">
        <f t="shared" si="7"/>
        <v>0</v>
      </c>
      <c r="H41" s="49">
        <f t="shared" si="7"/>
        <v>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L41"/>
  <sheetViews>
    <sheetView zoomScaleNormal="100" workbookViewId="0">
      <selection activeCell="I13" sqref="I13:J13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1.7109375" style="8" customWidth="1"/>
    <col min="8" max="8" width="16.5703125" style="8" customWidth="1"/>
    <col min="9" max="9" width="14.2851562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3.140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0" t="s">
        <v>9</v>
      </c>
      <c r="L4" s="140"/>
      <c r="M4" s="109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14501885.68</v>
      </c>
      <c r="I6" s="75">
        <v>13776791.380000001</v>
      </c>
      <c r="J6" s="75">
        <v>0</v>
      </c>
      <c r="K6" s="75">
        <v>725094.3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23">
        <v>4</v>
      </c>
      <c r="F7" s="24" t="s">
        <v>40</v>
      </c>
      <c r="G7" s="11" t="s">
        <v>41</v>
      </c>
      <c r="H7" s="75">
        <v>12052070.41</v>
      </c>
      <c r="I7" s="75">
        <v>11449466.890000001</v>
      </c>
      <c r="J7" s="75">
        <v>0</v>
      </c>
      <c r="K7" s="75">
        <v>602603.52000000002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80">
        <v>1792970</v>
      </c>
      <c r="I10" s="80">
        <v>573750.4</v>
      </c>
      <c r="J10" s="80">
        <v>322734.59999999998</v>
      </c>
      <c r="K10" s="80">
        <v>0</v>
      </c>
      <c r="L10" s="80">
        <v>0</v>
      </c>
      <c r="M10" s="80">
        <v>896485</v>
      </c>
      <c r="N10" s="75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75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346666.67</v>
      </c>
      <c r="I13" s="102">
        <v>99840</v>
      </c>
      <c r="J13" s="80">
        <v>56160</v>
      </c>
      <c r="K13" s="80">
        <v>0</v>
      </c>
      <c r="L13" s="80">
        <v>0</v>
      </c>
      <c r="M13" s="80">
        <v>190666.66999999998</v>
      </c>
      <c r="N13" s="75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9">
        <f>6929.09*1000</f>
        <v>6929090</v>
      </c>
      <c r="I14" s="69">
        <f>5889.73*1000</f>
        <v>5889730</v>
      </c>
      <c r="J14" s="69">
        <f>491.36*1000</f>
        <v>491360</v>
      </c>
      <c r="K14" s="69">
        <f>177.5*1000</f>
        <v>177500</v>
      </c>
      <c r="L14" s="69">
        <f>370.5*1000</f>
        <v>370500</v>
      </c>
      <c r="M14" s="120">
        <v>0</v>
      </c>
      <c r="N14" s="75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75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64">
        <f>1000*1000</f>
        <v>1000000</v>
      </c>
      <c r="I16" s="64">
        <f>850*1000</f>
        <v>850000</v>
      </c>
      <c r="J16" s="64">
        <f>72.31*1000</f>
        <v>72310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68"/>
      <c r="B17" s="30"/>
      <c r="C17" s="30"/>
      <c r="D17" s="31"/>
      <c r="E17" s="31"/>
      <c r="F17" s="32"/>
      <c r="G17" s="32"/>
      <c r="H17" s="66"/>
      <c r="I17" s="66"/>
      <c r="J17" s="66"/>
      <c r="K17" s="66"/>
      <c r="L17" s="66"/>
      <c r="M17" s="119"/>
      <c r="N17" s="66"/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103">
        <f>2352.95*1000</f>
        <v>2352950</v>
      </c>
      <c r="I18" s="69">
        <f>2000*1000</f>
        <v>2000000</v>
      </c>
      <c r="J18" s="69">
        <v>0</v>
      </c>
      <c r="K18" s="103">
        <f>352.95*1000</f>
        <v>352950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93</v>
      </c>
      <c r="B21" s="169"/>
      <c r="C21" s="169"/>
      <c r="D21" s="169"/>
      <c r="E21" s="169"/>
      <c r="H21" s="133"/>
      <c r="I21" s="134"/>
      <c r="J21" s="134"/>
      <c r="K21" s="132"/>
      <c r="L21" s="132"/>
      <c r="M21" s="133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H22" s="133"/>
      <c r="I22" s="133"/>
      <c r="J22" s="133"/>
      <c r="K22" s="133"/>
      <c r="L22" s="133"/>
      <c r="M22" s="133"/>
    </row>
    <row r="23" spans="1:16" ht="14.25" customHeight="1" x14ac:dyDescent="0.25">
      <c r="A23" s="138" t="s">
        <v>27</v>
      </c>
      <c r="B23" s="9" t="s">
        <v>10</v>
      </c>
      <c r="C23" s="68">
        <f>SUM(I6:I8)</f>
        <v>25226258.270000003</v>
      </c>
      <c r="D23" s="68">
        <v>0</v>
      </c>
      <c r="E23" s="68">
        <f t="shared" ref="E23:E30" si="0">C23+D23</f>
        <v>25226258.270000003</v>
      </c>
      <c r="H23" s="136"/>
      <c r="I23" s="136"/>
      <c r="J23" s="136"/>
      <c r="K23" s="136"/>
      <c r="L23" s="136"/>
      <c r="M23" s="136"/>
    </row>
    <row r="24" spans="1:16" x14ac:dyDescent="0.25">
      <c r="A24" s="138"/>
      <c r="B24" s="9" t="s">
        <v>13</v>
      </c>
      <c r="C24" s="68">
        <f>SUM((I18))</f>
        <v>2000000</v>
      </c>
      <c r="D24" s="68">
        <v>0</v>
      </c>
      <c r="E24" s="68">
        <f t="shared" si="0"/>
        <v>2000000</v>
      </c>
    </row>
    <row r="25" spans="1:16" x14ac:dyDescent="0.25">
      <c r="A25" s="138"/>
      <c r="B25" s="4" t="s">
        <v>28</v>
      </c>
      <c r="C25" s="92">
        <f>SUM(C23:C24)</f>
        <v>27226258.270000003</v>
      </c>
      <c r="D25" s="92">
        <f>SUM(D23:D24)</f>
        <v>0</v>
      </c>
      <c r="E25" s="92">
        <f t="shared" si="0"/>
        <v>27226258.270000003</v>
      </c>
    </row>
    <row r="26" spans="1:16" ht="14.25" customHeight="1" x14ac:dyDescent="0.25">
      <c r="A26" s="138" t="s">
        <v>29</v>
      </c>
      <c r="B26" s="70" t="s">
        <v>11</v>
      </c>
      <c r="C26" s="61">
        <f>SUM(I14+I16)</f>
        <v>6739730</v>
      </c>
      <c r="D26" s="61">
        <f>J14+J16</f>
        <v>563670</v>
      </c>
      <c r="E26" s="61">
        <f t="shared" si="0"/>
        <v>7303400</v>
      </c>
    </row>
    <row r="27" spans="1:16" x14ac:dyDescent="0.25">
      <c r="A27" s="138"/>
      <c r="B27" s="76" t="s">
        <v>30</v>
      </c>
      <c r="C27" s="61">
        <f>C26</f>
        <v>6739730</v>
      </c>
      <c r="D27" s="61">
        <f t="shared" ref="D27:E27" si="1">D26</f>
        <v>563670</v>
      </c>
      <c r="E27" s="61">
        <f t="shared" si="1"/>
        <v>7303400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673590.4</v>
      </c>
      <c r="D28" s="78">
        <f>SUM(J9:J13)</f>
        <v>378894.6</v>
      </c>
      <c r="E28" s="68">
        <f t="shared" si="0"/>
        <v>1052485</v>
      </c>
    </row>
    <row r="29" spans="1:16" x14ac:dyDescent="0.25">
      <c r="A29" s="138"/>
      <c r="B29" s="4" t="s">
        <v>32</v>
      </c>
      <c r="C29" s="81">
        <f>C28</f>
        <v>673590.4</v>
      </c>
      <c r="D29" s="81">
        <f t="shared" ref="D29:E29" si="2">D28</f>
        <v>378894.6</v>
      </c>
      <c r="E29" s="92">
        <f t="shared" si="2"/>
        <v>1052485</v>
      </c>
    </row>
    <row r="30" spans="1:16" x14ac:dyDescent="0.25">
      <c r="A30" s="7" t="s">
        <v>33</v>
      </c>
      <c r="B30" s="76" t="s">
        <v>14</v>
      </c>
      <c r="C30" s="91">
        <f>C25+C27+C29</f>
        <v>34639578.670000002</v>
      </c>
      <c r="D30" s="91">
        <f>D25+D27+D29</f>
        <v>942564.6</v>
      </c>
      <c r="E30" s="94">
        <f t="shared" si="0"/>
        <v>35582143.270000003</v>
      </c>
    </row>
    <row r="32" spans="1:16" x14ac:dyDescent="0.25">
      <c r="A32" s="166" t="s">
        <v>71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4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51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3">SUM(H14,H16,H17)</f>
        <v>7929090</v>
      </c>
      <c r="F37" s="62">
        <f t="shared" si="3"/>
        <v>6739730</v>
      </c>
      <c r="G37" s="62">
        <f t="shared" si="3"/>
        <v>563670</v>
      </c>
      <c r="H37" s="62">
        <f t="shared" si="3"/>
        <v>213650</v>
      </c>
      <c r="I37" s="62">
        <f t="shared" si="3"/>
        <v>412040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2139636.67</v>
      </c>
      <c r="F38" s="84">
        <f>SUM(I10:I13)</f>
        <v>673590.4</v>
      </c>
      <c r="G38" s="84">
        <f>SUM(J10:J13)</f>
        <v>378894.6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1087151.67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26553956.09</v>
      </c>
      <c r="F40" s="71">
        <f t="shared" si="6"/>
        <v>25226258.270000003</v>
      </c>
      <c r="G40" s="71">
        <f t="shared" si="6"/>
        <v>0</v>
      </c>
      <c r="H40" s="71">
        <f t="shared" si="6"/>
        <v>1327697.82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2352950</v>
      </c>
      <c r="F41" s="49">
        <f t="shared" si="7"/>
        <v>2000000</v>
      </c>
      <c r="G41" s="49">
        <f t="shared" si="7"/>
        <v>0</v>
      </c>
      <c r="H41" s="49">
        <f t="shared" si="7"/>
        <v>352950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L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L41"/>
  <sheetViews>
    <sheetView zoomScaleNormal="100" workbookViewId="0">
      <selection activeCell="I13" sqref="I13:J13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2.28515625" style="8" customWidth="1"/>
    <col min="8" max="8" width="16.42578125" style="8" customWidth="1"/>
    <col min="9" max="9" width="14.710937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4.71093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64">
        <v>7842624.3300000001</v>
      </c>
      <c r="I6" s="64">
        <v>7450493.1100000003</v>
      </c>
      <c r="J6" s="64">
        <v>0</v>
      </c>
      <c r="K6" s="64">
        <v>392131.22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23">
        <v>4</v>
      </c>
      <c r="F7" s="24" t="s">
        <v>40</v>
      </c>
      <c r="G7" s="11" t="s">
        <v>41</v>
      </c>
      <c r="H7" s="64">
        <v>4245000</v>
      </c>
      <c r="I7" s="64">
        <v>4032750</v>
      </c>
      <c r="J7" s="64">
        <v>0</v>
      </c>
      <c r="K7" s="64">
        <v>212250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64">
        <v>1309200</v>
      </c>
      <c r="I8" s="64">
        <v>1243740</v>
      </c>
      <c r="J8" s="64">
        <v>0</v>
      </c>
      <c r="K8" s="64">
        <v>0</v>
      </c>
      <c r="L8" s="64">
        <v>65460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7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80">
        <v>6705254</v>
      </c>
      <c r="I10" s="80">
        <v>2145681.2800000003</v>
      </c>
      <c r="J10" s="80">
        <v>1206945.7200000002</v>
      </c>
      <c r="K10" s="80">
        <v>0</v>
      </c>
      <c r="L10" s="80">
        <v>0</v>
      </c>
      <c r="M10" s="80">
        <v>3352627</v>
      </c>
      <c r="N10" s="75">
        <v>0</v>
      </c>
      <c r="O10" s="19" t="s">
        <v>98</v>
      </c>
      <c r="P10" s="14"/>
    </row>
    <row r="11" spans="1:16" ht="14.25" customHeight="1" x14ac:dyDescent="0.25">
      <c r="A11" s="179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2250000</v>
      </c>
      <c r="I11" s="102">
        <v>1152000</v>
      </c>
      <c r="J11" s="102">
        <v>648000</v>
      </c>
      <c r="K11" s="102">
        <v>0</v>
      </c>
      <c r="L11" s="102">
        <v>0</v>
      </c>
      <c r="M11" s="102">
        <v>450000</v>
      </c>
      <c r="N11" s="102">
        <v>0</v>
      </c>
      <c r="O11" s="28" t="s">
        <v>102</v>
      </c>
      <c r="P11" s="14"/>
    </row>
    <row r="12" spans="1:16" x14ac:dyDescent="0.25">
      <c r="A12" s="179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75">
        <v>0</v>
      </c>
      <c r="O12" s="19" t="s">
        <v>99</v>
      </c>
      <c r="P12" s="14"/>
    </row>
    <row r="13" spans="1:16" x14ac:dyDescent="0.25">
      <c r="A13" s="180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4048042.2199999997</v>
      </c>
      <c r="I13" s="102">
        <v>1165836.1600000001</v>
      </c>
      <c r="J13" s="80">
        <v>655782.83999999985</v>
      </c>
      <c r="K13" s="80">
        <v>0</v>
      </c>
      <c r="L13" s="80">
        <v>0</v>
      </c>
      <c r="M13" s="80">
        <v>2226423.2200000002</v>
      </c>
      <c r="N13" s="75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9">
        <f>15770.91*1000</f>
        <v>15770910</v>
      </c>
      <c r="I14" s="69">
        <f>13405.27*1000</f>
        <v>13405270</v>
      </c>
      <c r="J14" s="69">
        <f>1309.64*1000</f>
        <v>1309640</v>
      </c>
      <c r="K14" s="69">
        <f>385.5*1000</f>
        <v>385500</v>
      </c>
      <c r="L14" s="69">
        <f>670.5*1000</f>
        <v>670500</v>
      </c>
      <c r="M14" s="120">
        <v>0</v>
      </c>
      <c r="N14" s="75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75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69">
        <f>3133*1000</f>
        <v>3133000</v>
      </c>
      <c r="I16" s="69">
        <f>2663.05*1000</f>
        <v>2663050</v>
      </c>
      <c r="J16" s="69">
        <f>392.26*1000</f>
        <v>392260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94</v>
      </c>
      <c r="B21" s="169"/>
      <c r="C21" s="169"/>
      <c r="D21" s="169"/>
      <c r="E21" s="169"/>
      <c r="G21" s="132"/>
      <c r="H21" s="136"/>
      <c r="I21" s="136"/>
      <c r="J21" s="136"/>
      <c r="K21" s="136"/>
      <c r="L21" s="136"/>
      <c r="M21" s="136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132"/>
      <c r="H22" s="133"/>
      <c r="I22" s="133"/>
      <c r="J22" s="133"/>
      <c r="K22" s="133"/>
      <c r="L22" s="133"/>
      <c r="M22" s="133"/>
    </row>
    <row r="23" spans="1:16" ht="14.25" customHeight="1" x14ac:dyDescent="0.25">
      <c r="A23" s="138" t="s">
        <v>27</v>
      </c>
      <c r="B23" s="9" t="s">
        <v>10</v>
      </c>
      <c r="C23" s="68">
        <f>SUM(I6:I8)</f>
        <v>12726983.109999999</v>
      </c>
      <c r="D23" s="68">
        <v>0</v>
      </c>
      <c r="E23" s="68">
        <f>C23+D23</f>
        <v>12726983.109999999</v>
      </c>
      <c r="G23" s="132"/>
      <c r="H23" s="135"/>
      <c r="I23" s="135"/>
      <c r="J23" s="135"/>
      <c r="K23" s="135"/>
      <c r="L23" s="135"/>
      <c r="M23" s="135"/>
    </row>
    <row r="24" spans="1:16" x14ac:dyDescent="0.25">
      <c r="A24" s="138"/>
      <c r="B24" s="9" t="s">
        <v>13</v>
      </c>
      <c r="C24" s="68">
        <f>SUM((I18))</f>
        <v>648000</v>
      </c>
      <c r="D24" s="68">
        <v>0</v>
      </c>
      <c r="E24" s="68">
        <f>C24+D24</f>
        <v>648000</v>
      </c>
      <c r="G24" s="132"/>
      <c r="H24" s="133"/>
      <c r="I24" s="133"/>
      <c r="J24" s="133"/>
      <c r="K24" s="132"/>
      <c r="L24" s="132"/>
      <c r="M24" s="132"/>
    </row>
    <row r="25" spans="1:16" x14ac:dyDescent="0.25">
      <c r="A25" s="138"/>
      <c r="B25" s="4" t="s">
        <v>28</v>
      </c>
      <c r="C25" s="93">
        <f>C23+C24</f>
        <v>13374983.109999999</v>
      </c>
      <c r="D25" s="93">
        <f t="shared" ref="D25:E25" si="0">D23+D24</f>
        <v>0</v>
      </c>
      <c r="E25" s="93">
        <f t="shared" si="0"/>
        <v>13374983.109999999</v>
      </c>
      <c r="G25" s="132"/>
      <c r="H25" s="133"/>
      <c r="I25" s="133"/>
      <c r="J25" s="133"/>
      <c r="K25" s="133"/>
      <c r="L25" s="133"/>
      <c r="M25" s="133"/>
    </row>
    <row r="26" spans="1:16" ht="14.25" customHeight="1" x14ac:dyDescent="0.25">
      <c r="A26" s="138" t="s">
        <v>29</v>
      </c>
      <c r="B26" s="77" t="s">
        <v>11</v>
      </c>
      <c r="C26" s="61">
        <f>I14+I16</f>
        <v>16068320</v>
      </c>
      <c r="D26" s="61">
        <f>J14+J16</f>
        <v>1701900</v>
      </c>
      <c r="E26" s="61">
        <f>C26+D26</f>
        <v>17770220</v>
      </c>
    </row>
    <row r="27" spans="1:16" x14ac:dyDescent="0.25">
      <c r="A27" s="138"/>
      <c r="B27" s="76" t="s">
        <v>30</v>
      </c>
      <c r="C27" s="61">
        <f>C26</f>
        <v>16068320</v>
      </c>
      <c r="D27" s="61">
        <f t="shared" ref="D27:E27" si="1">D26</f>
        <v>1701900</v>
      </c>
      <c r="E27" s="61">
        <f t="shared" si="1"/>
        <v>17770220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4463517.4400000004</v>
      </c>
      <c r="D28" s="78">
        <f>SUM(J9:J13)</f>
        <v>2510728.56</v>
      </c>
      <c r="E28" s="68">
        <f>C28+D28</f>
        <v>6974246</v>
      </c>
    </row>
    <row r="29" spans="1:16" x14ac:dyDescent="0.25">
      <c r="A29" s="138"/>
      <c r="B29" s="4" t="s">
        <v>32</v>
      </c>
      <c r="C29" s="81">
        <f>C28</f>
        <v>4463517.4400000004</v>
      </c>
      <c r="D29" s="81">
        <f t="shared" ref="D29:E29" si="2">D28</f>
        <v>2510728.56</v>
      </c>
      <c r="E29" s="92">
        <f t="shared" si="2"/>
        <v>6974246</v>
      </c>
    </row>
    <row r="30" spans="1:16" x14ac:dyDescent="0.25">
      <c r="A30" s="7" t="s">
        <v>33</v>
      </c>
      <c r="B30" s="76" t="s">
        <v>14</v>
      </c>
      <c r="C30" s="91">
        <f>C25+C27+C29</f>
        <v>33906820.549999997</v>
      </c>
      <c r="D30" s="91">
        <f>D25+D27+D29</f>
        <v>4212628.5600000005</v>
      </c>
      <c r="E30" s="94">
        <f>E25+E27+E29</f>
        <v>38119449.109999999</v>
      </c>
    </row>
    <row r="32" spans="1:16" x14ac:dyDescent="0.25">
      <c r="A32" s="166" t="s">
        <v>73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4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38.25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3">SUM(H14,H16,H17)</f>
        <v>18903910</v>
      </c>
      <c r="F37" s="62">
        <f t="shared" si="3"/>
        <v>16068320</v>
      </c>
      <c r="G37" s="62">
        <f t="shared" si="3"/>
        <v>1701900</v>
      </c>
      <c r="H37" s="62">
        <f t="shared" si="3"/>
        <v>421650</v>
      </c>
      <c r="I37" s="62">
        <f t="shared" si="3"/>
        <v>712040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13003296.219999999</v>
      </c>
      <c r="F38" s="84">
        <f>SUM(I10:I13)</f>
        <v>4463517.4400000004</v>
      </c>
      <c r="G38" s="84">
        <f>SUM(J10:J13)</f>
        <v>2510728.56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6029050.2200000007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13396824.33</v>
      </c>
      <c r="F40" s="71">
        <f t="shared" si="6"/>
        <v>12726983.109999999</v>
      </c>
      <c r="G40" s="71">
        <f t="shared" si="6"/>
        <v>0</v>
      </c>
      <c r="H40" s="71">
        <f t="shared" si="6"/>
        <v>604381.22</v>
      </c>
      <c r="I40" s="71">
        <f t="shared" si="6"/>
        <v>65460</v>
      </c>
      <c r="J40" s="122">
        <v>0</v>
      </c>
      <c r="K40" s="84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762350</v>
      </c>
      <c r="F41" s="49">
        <f t="shared" si="7"/>
        <v>648000</v>
      </c>
      <c r="G41" s="49">
        <f t="shared" si="7"/>
        <v>0</v>
      </c>
      <c r="H41" s="49">
        <f t="shared" si="7"/>
        <v>114350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L41"/>
  <sheetViews>
    <sheetView topLeftCell="C1" zoomScaleNormal="100" workbookViewId="0">
      <selection activeCell="I13" sqref="I13:J13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4.5703125" style="8" customWidth="1"/>
    <col min="4" max="4" width="12.140625" style="8" customWidth="1"/>
    <col min="5" max="5" width="15" style="8" customWidth="1"/>
    <col min="6" max="7" width="12.140625" style="8" customWidth="1"/>
    <col min="8" max="8" width="15.42578125" style="8" customWidth="1"/>
    <col min="9" max="9" width="14.7109375" style="8" customWidth="1"/>
    <col min="10" max="10" width="13.28515625" style="8" bestFit="1" customWidth="1"/>
    <col min="11" max="11" width="13.5703125" style="8" customWidth="1"/>
    <col min="12" max="13" width="12.28515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74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58">
        <v>4</v>
      </c>
      <c r="F6" s="59" t="s">
        <v>40</v>
      </c>
      <c r="G6" s="25" t="s">
        <v>41</v>
      </c>
      <c r="H6" s="98">
        <v>7157894.7400000002</v>
      </c>
      <c r="I6" s="98">
        <v>6800000</v>
      </c>
      <c r="J6" s="98">
        <v>0</v>
      </c>
      <c r="K6" s="98">
        <v>357894.74000000022</v>
      </c>
      <c r="L6" s="98">
        <v>0</v>
      </c>
      <c r="M6" s="120">
        <v>0</v>
      </c>
      <c r="N6" s="68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120">
        <v>0</v>
      </c>
      <c r="N7" s="68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120">
        <v>0</v>
      </c>
      <c r="N8" s="68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120">
        <v>0</v>
      </c>
      <c r="N9" s="68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99">
        <f>SUM(I10:N10)</f>
        <v>800000</v>
      </c>
      <c r="I10" s="99">
        <v>256000</v>
      </c>
      <c r="J10" s="99">
        <v>144000</v>
      </c>
      <c r="K10" s="99">
        <v>0</v>
      </c>
      <c r="L10" s="99">
        <v>0</v>
      </c>
      <c r="M10" s="99">
        <f>I10+J10</f>
        <v>400000</v>
      </c>
      <c r="N10" s="68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0">
        <v>250000</v>
      </c>
      <c r="I11" s="100">
        <v>128000</v>
      </c>
      <c r="J11" s="100">
        <v>72000</v>
      </c>
      <c r="K11" s="100">
        <v>0</v>
      </c>
      <c r="L11" s="100">
        <v>0</v>
      </c>
      <c r="M11" s="100">
        <v>50000</v>
      </c>
      <c r="N11" s="128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72" t="s">
        <v>48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68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72" t="s">
        <v>48</v>
      </c>
      <c r="H13" s="100">
        <v>888888.89</v>
      </c>
      <c r="I13" s="100">
        <v>256000</v>
      </c>
      <c r="J13" s="99">
        <v>144000</v>
      </c>
      <c r="K13" s="99">
        <v>0</v>
      </c>
      <c r="L13" s="99">
        <v>0</v>
      </c>
      <c r="M13" s="99">
        <v>488888.89</v>
      </c>
      <c r="N13" s="68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72" t="s">
        <v>50</v>
      </c>
      <c r="H14" s="61">
        <f>11768*1000</f>
        <v>11768000</v>
      </c>
      <c r="I14" s="61">
        <f>10002.8*1000</f>
        <v>10002800</v>
      </c>
      <c r="J14" s="69">
        <f>932.4*1000</f>
        <v>932400</v>
      </c>
      <c r="K14" s="69">
        <f>278.7*1000</f>
        <v>278700</v>
      </c>
      <c r="L14" s="69">
        <f>554.1*1000</f>
        <v>554100</v>
      </c>
      <c r="M14" s="120">
        <v>0</v>
      </c>
      <c r="N14" s="68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72" t="s">
        <v>41</v>
      </c>
      <c r="H15" s="63">
        <v>0</v>
      </c>
      <c r="I15" s="63">
        <v>0</v>
      </c>
      <c r="J15" s="64">
        <v>0</v>
      </c>
      <c r="K15" s="64">
        <v>0</v>
      </c>
      <c r="L15" s="64">
        <v>0</v>
      </c>
      <c r="M15" s="120">
        <v>0</v>
      </c>
      <c r="N15" s="68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72" t="s">
        <v>50</v>
      </c>
      <c r="H16" s="85">
        <f>2744*1000</f>
        <v>2744000</v>
      </c>
      <c r="I16" s="85">
        <f>2332.4*1000</f>
        <v>2332400</v>
      </c>
      <c r="J16" s="86">
        <f>364.13*1000</f>
        <v>364130</v>
      </c>
      <c r="K16" s="87">
        <f>22.09*1000</f>
        <v>22090</v>
      </c>
      <c r="L16" s="87">
        <f>25.38*1000</f>
        <v>25380</v>
      </c>
      <c r="M16" s="120">
        <v>0</v>
      </c>
      <c r="N16" s="68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73" t="s">
        <v>50</v>
      </c>
      <c r="H17" s="88">
        <v>0</v>
      </c>
      <c r="I17" s="88">
        <v>0</v>
      </c>
      <c r="J17" s="89">
        <v>0</v>
      </c>
      <c r="K17" s="89">
        <v>0</v>
      </c>
      <c r="L17" s="89">
        <v>0</v>
      </c>
      <c r="M17" s="119"/>
      <c r="N17" s="65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74" t="s">
        <v>54</v>
      </c>
      <c r="H18" s="85">
        <f>762.35*1000</f>
        <v>762350</v>
      </c>
      <c r="I18" s="85">
        <f>648*1000</f>
        <v>648000</v>
      </c>
      <c r="J18" s="90">
        <v>0</v>
      </c>
      <c r="K18" s="86">
        <f>114.35*1000</f>
        <v>114350</v>
      </c>
      <c r="L18" s="90">
        <v>0</v>
      </c>
      <c r="M18" s="120">
        <v>0</v>
      </c>
      <c r="N18" s="61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95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</f>
        <v>6800000</v>
      </c>
      <c r="D23" s="68">
        <v>0</v>
      </c>
      <c r="E23" s="68">
        <f>C23+D23</f>
        <v>6800000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C24+D24</f>
        <v>648114.35</v>
      </c>
    </row>
    <row r="25" spans="1:16" x14ac:dyDescent="0.25">
      <c r="A25" s="138"/>
      <c r="B25" s="4" t="s">
        <v>28</v>
      </c>
      <c r="C25" s="92">
        <f>C23+C24</f>
        <v>7448000</v>
      </c>
      <c r="D25" s="92">
        <v>0</v>
      </c>
      <c r="E25" s="92">
        <f t="shared" ref="E25" si="0">E23+E24</f>
        <v>7448114.3499999996</v>
      </c>
    </row>
    <row r="26" spans="1:16" ht="14.25" customHeight="1" x14ac:dyDescent="0.25">
      <c r="A26" s="138" t="s">
        <v>29</v>
      </c>
      <c r="B26" s="9" t="s">
        <v>11</v>
      </c>
      <c r="C26" s="61">
        <f>I14+I16</f>
        <v>12335200</v>
      </c>
      <c r="D26" s="61">
        <f>J14+J16</f>
        <v>1296530</v>
      </c>
      <c r="E26" s="61">
        <f>C26+D26</f>
        <v>13631730</v>
      </c>
    </row>
    <row r="27" spans="1:16" x14ac:dyDescent="0.25">
      <c r="A27" s="138"/>
      <c r="B27" s="4" t="s">
        <v>30</v>
      </c>
      <c r="C27" s="61">
        <f>C26</f>
        <v>12335200</v>
      </c>
      <c r="D27" s="61">
        <f t="shared" ref="D27:E27" si="1">D26</f>
        <v>1296530</v>
      </c>
      <c r="E27" s="61">
        <f t="shared" si="1"/>
        <v>13631730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640000</v>
      </c>
      <c r="D28" s="78">
        <f>SUM(J9:J13)</f>
        <v>360000</v>
      </c>
      <c r="E28" s="68">
        <f>C28+D28</f>
        <v>1000000</v>
      </c>
    </row>
    <row r="29" spans="1:16" ht="35.25" customHeight="1" x14ac:dyDescent="0.25">
      <c r="A29" s="138"/>
      <c r="B29" s="4" t="s">
        <v>32</v>
      </c>
      <c r="C29" s="81">
        <f>C28</f>
        <v>640000</v>
      </c>
      <c r="D29" s="81">
        <f t="shared" ref="D29:E29" si="2">D28</f>
        <v>360000</v>
      </c>
      <c r="E29" s="92">
        <f t="shared" si="2"/>
        <v>1000000</v>
      </c>
    </row>
    <row r="30" spans="1:16" x14ac:dyDescent="0.25">
      <c r="A30" s="7" t="s">
        <v>33</v>
      </c>
      <c r="B30" s="76" t="s">
        <v>14</v>
      </c>
      <c r="C30" s="91">
        <f>C25+C27+C29</f>
        <v>20423200</v>
      </c>
      <c r="D30" s="91">
        <f>D25+D27+D29</f>
        <v>1656530</v>
      </c>
      <c r="E30" s="94">
        <f>E25+E27+E29</f>
        <v>22079844.350000001</v>
      </c>
    </row>
    <row r="32" spans="1:16" x14ac:dyDescent="0.25">
      <c r="A32" s="166" t="s">
        <v>75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57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51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3">SUM(H14,H16,H17)</f>
        <v>14512000</v>
      </c>
      <c r="F37" s="62">
        <f t="shared" si="3"/>
        <v>12335200</v>
      </c>
      <c r="G37" s="62">
        <f t="shared" si="3"/>
        <v>1296530</v>
      </c>
      <c r="H37" s="62">
        <f t="shared" si="3"/>
        <v>300790</v>
      </c>
      <c r="I37" s="62">
        <f t="shared" si="3"/>
        <v>579480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1938888.8900000001</v>
      </c>
      <c r="F38" s="84">
        <f>SUM(I10:I13)</f>
        <v>640000</v>
      </c>
      <c r="G38" s="84">
        <f>SUM(J10:J13)</f>
        <v>360000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938888.89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7157894.7400000002</v>
      </c>
      <c r="F40" s="71">
        <f t="shared" si="6"/>
        <v>6800000</v>
      </c>
      <c r="G40" s="71">
        <f t="shared" si="6"/>
        <v>0</v>
      </c>
      <c r="H40" s="71">
        <f t="shared" si="6"/>
        <v>357894.74000000022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762350</v>
      </c>
      <c r="F41" s="49">
        <f t="shared" si="7"/>
        <v>648000</v>
      </c>
      <c r="G41" s="49">
        <f t="shared" si="7"/>
        <v>0</v>
      </c>
      <c r="H41" s="49">
        <f t="shared" si="7"/>
        <v>114350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L41"/>
  <sheetViews>
    <sheetView zoomScaleNormal="100" workbookViewId="0">
      <selection activeCell="H6" sqref="H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42578125" style="8" customWidth="1"/>
    <col min="9" max="9" width="12.7109375" style="8" customWidth="1"/>
    <col min="10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40" t="s">
        <v>64</v>
      </c>
      <c r="I4" s="140" t="s">
        <v>8</v>
      </c>
      <c r="J4" s="140"/>
      <c r="K4" s="141" t="s">
        <v>9</v>
      </c>
      <c r="L4" s="142"/>
      <c r="M4" s="14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40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1869737.5</v>
      </c>
      <c r="I6" s="75">
        <v>1776250.62</v>
      </c>
      <c r="J6" s="75">
        <v>0</v>
      </c>
      <c r="K6" s="75">
        <v>93486.879999999888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60" t="s">
        <v>10</v>
      </c>
      <c r="E7" s="55">
        <v>4</v>
      </c>
      <c r="F7" s="24" t="s">
        <v>40</v>
      </c>
      <c r="G7" s="11" t="s">
        <v>41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60" t="s">
        <v>10</v>
      </c>
      <c r="E8" s="55">
        <v>4</v>
      </c>
      <c r="F8" s="24" t="s">
        <v>40</v>
      </c>
      <c r="G8" s="11" t="s">
        <v>41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60" t="s">
        <v>12</v>
      </c>
      <c r="E9" s="27" t="s">
        <v>45</v>
      </c>
      <c r="F9" s="24" t="s">
        <v>46</v>
      </c>
      <c r="G9" s="11" t="s">
        <v>47</v>
      </c>
      <c r="H9" s="75">
        <v>0</v>
      </c>
      <c r="I9" s="75">
        <f>H9*0.8*0.75</f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60" t="s">
        <v>12</v>
      </c>
      <c r="E10" s="27" t="s">
        <v>45</v>
      </c>
      <c r="F10" s="24" t="s">
        <v>46</v>
      </c>
      <c r="G10" s="11" t="s">
        <v>48</v>
      </c>
      <c r="H10" s="75">
        <v>0</v>
      </c>
      <c r="I10" s="75">
        <f>H10*0.5*0.75</f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75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60" t="s">
        <v>12</v>
      </c>
      <c r="E12" s="27" t="s">
        <v>45</v>
      </c>
      <c r="F12" s="24" t="s">
        <v>46</v>
      </c>
      <c r="G12" s="11" t="s">
        <v>48</v>
      </c>
      <c r="H12" s="75">
        <v>0</v>
      </c>
      <c r="I12" s="75">
        <f>H12*0.5*0.75</f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75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60" t="s">
        <v>12</v>
      </c>
      <c r="E13" s="27" t="s">
        <v>45</v>
      </c>
      <c r="F13" s="24" t="s">
        <v>46</v>
      </c>
      <c r="G13" s="11" t="s">
        <v>48</v>
      </c>
      <c r="H13" s="101">
        <v>0</v>
      </c>
      <c r="I13" s="101">
        <f>H13*0.45*0.75</f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75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23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120">
        <v>0</v>
      </c>
      <c r="N14" s="75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120">
        <v>0</v>
      </c>
      <c r="N15" s="75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69">
        <f>2133*1000</f>
        <v>2133000</v>
      </c>
      <c r="I16" s="69">
        <f>1813.05*1000</f>
        <v>1813050</v>
      </c>
      <c r="J16" s="69">
        <f>319.95*1000</f>
        <v>319950</v>
      </c>
      <c r="K16" s="75">
        <v>0</v>
      </c>
      <c r="L16" s="75">
        <v>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96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</f>
        <v>1776250.62</v>
      </c>
      <c r="D23" s="68">
        <v>0</v>
      </c>
      <c r="E23" s="68">
        <f>C23+D23</f>
        <v>1776250.62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C24+D24</f>
        <v>648114.35</v>
      </c>
    </row>
    <row r="25" spans="1:16" x14ac:dyDescent="0.25">
      <c r="A25" s="138"/>
      <c r="B25" s="4" t="s">
        <v>28</v>
      </c>
      <c r="C25" s="92">
        <f>C23+C24</f>
        <v>2424250.62</v>
      </c>
      <c r="D25" s="92">
        <v>0</v>
      </c>
      <c r="E25" s="92">
        <f t="shared" ref="E25" si="0">E23+E24</f>
        <v>2424364.9700000002</v>
      </c>
    </row>
    <row r="26" spans="1:16" ht="14.25" customHeight="1" x14ac:dyDescent="0.25">
      <c r="A26" s="138" t="s">
        <v>29</v>
      </c>
      <c r="B26" s="9" t="s">
        <v>11</v>
      </c>
      <c r="C26" s="61">
        <f>I14+I16</f>
        <v>1813050</v>
      </c>
      <c r="D26" s="61">
        <f>J14+J16</f>
        <v>319950</v>
      </c>
      <c r="E26" s="61">
        <f>C26+D26</f>
        <v>2133000</v>
      </c>
    </row>
    <row r="27" spans="1:16" x14ac:dyDescent="0.25">
      <c r="A27" s="138"/>
      <c r="B27" s="4" t="s">
        <v>30</v>
      </c>
      <c r="C27" s="61">
        <f>SUM(C26)</f>
        <v>1813050</v>
      </c>
      <c r="D27" s="61">
        <f>SUM(D26)</f>
        <v>319950</v>
      </c>
      <c r="E27" s="61">
        <f>C27+D27</f>
        <v>2133000</v>
      </c>
    </row>
    <row r="28" spans="1:16" ht="14.25" customHeight="1" x14ac:dyDescent="0.25">
      <c r="A28" s="138" t="s">
        <v>31</v>
      </c>
      <c r="B28" s="13" t="s">
        <v>12</v>
      </c>
      <c r="C28" s="63">
        <f>SUM(I9,I10,I12,I13)</f>
        <v>0</v>
      </c>
      <c r="D28" s="68">
        <f>SUM(J9,J10,J12,J13,K9,K10,K12,K13,L9,L10,L12,L13)</f>
        <v>0</v>
      </c>
      <c r="E28" s="68">
        <f>C28+D28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68">
        <f>C29+D29</f>
        <v>0</v>
      </c>
    </row>
    <row r="30" spans="1:16" x14ac:dyDescent="0.25">
      <c r="A30" s="7" t="s">
        <v>33</v>
      </c>
      <c r="B30" s="76" t="s">
        <v>14</v>
      </c>
      <c r="C30" s="94">
        <f>C25+C27+C29</f>
        <v>4237300.62</v>
      </c>
      <c r="D30" s="94">
        <f>D25+D27+D29</f>
        <v>319950</v>
      </c>
      <c r="E30" s="61">
        <f>C30+D30</f>
        <v>4557250.62</v>
      </c>
    </row>
    <row r="32" spans="1:16" x14ac:dyDescent="0.25">
      <c r="A32" s="166" t="s">
        <v>77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4</v>
      </c>
      <c r="C33" s="167" t="s">
        <v>5</v>
      </c>
      <c r="D33" s="167" t="s">
        <v>58</v>
      </c>
      <c r="E33" s="162" t="s">
        <v>81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51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1">SUM(H14,H16,H17)</f>
        <v>2133000</v>
      </c>
      <c r="F37" s="62">
        <f t="shared" si="1"/>
        <v>1813050</v>
      </c>
      <c r="G37" s="62">
        <f t="shared" si="1"/>
        <v>319950</v>
      </c>
      <c r="H37" s="62">
        <f t="shared" si="1"/>
        <v>0</v>
      </c>
      <c r="I37" s="62">
        <f t="shared" si="1"/>
        <v>0</v>
      </c>
      <c r="J37" s="122">
        <v>0</v>
      </c>
      <c r="K37" s="71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71">
        <f t="shared" ref="E38:I38" si="2">SUM(H10,H12,H13)</f>
        <v>0</v>
      </c>
      <c r="F38" s="71">
        <f t="shared" si="2"/>
        <v>0</v>
      </c>
      <c r="G38" s="71">
        <f t="shared" si="2"/>
        <v>0</v>
      </c>
      <c r="H38" s="71">
        <f t="shared" si="2"/>
        <v>0</v>
      </c>
      <c r="I38" s="71">
        <f t="shared" si="2"/>
        <v>0</v>
      </c>
      <c r="J38" s="84">
        <f>SUM(M10:M13)</f>
        <v>0</v>
      </c>
      <c r="K38" s="71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71">
        <f t="shared" ref="E39:I39" si="3">SUM(H9)</f>
        <v>0</v>
      </c>
      <c r="F39" s="71">
        <f t="shared" si="3"/>
        <v>0</v>
      </c>
      <c r="G39" s="71">
        <f t="shared" si="3"/>
        <v>0</v>
      </c>
      <c r="H39" s="71">
        <f t="shared" si="3"/>
        <v>0</v>
      </c>
      <c r="I39" s="71">
        <f t="shared" si="3"/>
        <v>0</v>
      </c>
      <c r="J39" s="122">
        <v>0</v>
      </c>
      <c r="K39" s="71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4">SUM(H6,H7,H8,H15)</f>
        <v>1869737.5</v>
      </c>
      <c r="F40" s="71">
        <f t="shared" si="4"/>
        <v>1776250.62</v>
      </c>
      <c r="G40" s="71">
        <f t="shared" si="4"/>
        <v>0</v>
      </c>
      <c r="H40" s="71">
        <f t="shared" si="4"/>
        <v>93486.879999999888</v>
      </c>
      <c r="I40" s="71">
        <f t="shared" si="4"/>
        <v>0</v>
      </c>
      <c r="J40" s="122">
        <v>0</v>
      </c>
      <c r="K40" s="71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71">
        <f t="shared" ref="E41:I41" si="5">SUM(H18)</f>
        <v>762350</v>
      </c>
      <c r="F41" s="71">
        <f t="shared" si="5"/>
        <v>648000</v>
      </c>
      <c r="G41" s="71">
        <f t="shared" si="5"/>
        <v>0</v>
      </c>
      <c r="H41" s="71">
        <f t="shared" si="5"/>
        <v>114350</v>
      </c>
      <c r="I41" s="71">
        <f t="shared" si="5"/>
        <v>0</v>
      </c>
      <c r="J41" s="122">
        <v>0</v>
      </c>
      <c r="K41" s="71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L41"/>
  <sheetViews>
    <sheetView zoomScaleNormal="100" workbookViewId="0">
      <selection activeCell="P30" sqref="P29:P30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37" t="s">
        <v>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44" t="s">
        <v>81</v>
      </c>
      <c r="I2" s="145"/>
      <c r="J2" s="145"/>
      <c r="K2" s="145"/>
      <c r="L2" s="145"/>
      <c r="M2" s="146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47"/>
      <c r="I3" s="148"/>
      <c r="J3" s="148"/>
      <c r="K3" s="148"/>
      <c r="L3" s="148"/>
      <c r="M3" s="149"/>
      <c r="N3" s="138"/>
    </row>
    <row r="4" spans="1:16" ht="14.25" customHeight="1" x14ac:dyDescent="0.25">
      <c r="A4" s="138"/>
      <c r="B4" s="138"/>
      <c r="C4" s="138"/>
      <c r="D4" s="139" t="s">
        <v>3</v>
      </c>
      <c r="E4" s="139" t="s">
        <v>4</v>
      </c>
      <c r="F4" s="139" t="s">
        <v>5</v>
      </c>
      <c r="G4" s="139" t="s">
        <v>6</v>
      </c>
      <c r="H4" s="139" t="s">
        <v>64</v>
      </c>
      <c r="I4" s="139" t="s">
        <v>8</v>
      </c>
      <c r="J4" s="139"/>
      <c r="K4" s="181" t="s">
        <v>9</v>
      </c>
      <c r="L4" s="182"/>
      <c r="M4" s="183"/>
      <c r="N4" s="138"/>
    </row>
    <row r="5" spans="1:16" ht="55.5" customHeight="1" x14ac:dyDescent="0.25">
      <c r="A5" s="138"/>
      <c r="B5" s="138"/>
      <c r="C5" s="138"/>
      <c r="D5" s="139"/>
      <c r="E5" s="139"/>
      <c r="F5" s="139"/>
      <c r="G5" s="139"/>
      <c r="H5" s="139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58">
        <v>4</v>
      </c>
      <c r="F6" s="59" t="s">
        <v>40</v>
      </c>
      <c r="G6" s="25" t="s">
        <v>41</v>
      </c>
      <c r="H6" s="75">
        <f>I6/0.95</f>
        <v>0</v>
      </c>
      <c r="I6" s="75">
        <v>0</v>
      </c>
      <c r="J6" s="75">
        <v>0</v>
      </c>
      <c r="K6" s="75">
        <f>H6*0.05</f>
        <v>0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75">
        <f>I7/0.95</f>
        <v>0</v>
      </c>
      <c r="I7" s="75">
        <v>0</v>
      </c>
      <c r="J7" s="75">
        <v>0</v>
      </c>
      <c r="K7" s="75">
        <f>H7*0.05</f>
        <v>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75">
        <f>I8/0.95</f>
        <v>0</v>
      </c>
      <c r="I8" s="75">
        <v>0</v>
      </c>
      <c r="J8" s="75">
        <v>0</v>
      </c>
      <c r="K8" s="75">
        <f>H8*0.025</f>
        <v>0</v>
      </c>
      <c r="L8" s="75">
        <f>H8*0.025</f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75">
        <v>0</v>
      </c>
      <c r="I9" s="75"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6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75">
        <v>0</v>
      </c>
      <c r="I10" s="75"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75">
        <v>0</v>
      </c>
      <c r="O10" s="19" t="s">
        <v>98</v>
      </c>
      <c r="P10" s="14"/>
    </row>
    <row r="11" spans="1:16" ht="14.25" customHeight="1" x14ac:dyDescent="0.25">
      <c r="A11" s="168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68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75">
        <v>0</v>
      </c>
      <c r="I12" s="75"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75">
        <v>0</v>
      </c>
      <c r="O12" s="19" t="s">
        <v>99</v>
      </c>
      <c r="P12" s="14"/>
    </row>
    <row r="13" spans="1:16" x14ac:dyDescent="0.25">
      <c r="A13" s="168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1">
        <v>0</v>
      </c>
      <c r="I13" s="75"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75">
        <v>0</v>
      </c>
      <c r="O13" s="19" t="s">
        <v>100</v>
      </c>
      <c r="P13" s="14"/>
    </row>
    <row r="14" spans="1:16" ht="14.25" customHeight="1" x14ac:dyDescent="0.25">
      <c r="A14" s="168" t="s">
        <v>21</v>
      </c>
      <c r="B14" s="12" t="s">
        <v>22</v>
      </c>
      <c r="C14" s="12"/>
      <c r="D14" s="10" t="s">
        <v>20</v>
      </c>
      <c r="E14" s="23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f>H14/2*0.1</f>
        <v>0</v>
      </c>
      <c r="K14" s="75">
        <f>H14/2*0.05</f>
        <v>0</v>
      </c>
      <c r="L14" s="75">
        <f>H14/2*0.15</f>
        <v>0</v>
      </c>
      <c r="M14" s="120">
        <v>0</v>
      </c>
      <c r="N14" s="75">
        <v>0</v>
      </c>
      <c r="P14" s="14"/>
    </row>
    <row r="15" spans="1:16" x14ac:dyDescent="0.25">
      <c r="A15" s="168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120">
        <v>0</v>
      </c>
      <c r="N15" s="75">
        <v>0</v>
      </c>
      <c r="P15" s="14"/>
    </row>
    <row r="16" spans="1:16" x14ac:dyDescent="0.25">
      <c r="A16" s="168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75">
        <v>0</v>
      </c>
      <c r="I16" s="75">
        <v>0</v>
      </c>
      <c r="J16" s="75">
        <f>H16*0.1</f>
        <v>0</v>
      </c>
      <c r="K16" s="75">
        <f>H16*0.05</f>
        <v>0</v>
      </c>
      <c r="L16" s="75">
        <v>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68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f>I17/0.85</f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1" t="s">
        <v>14</v>
      </c>
      <c r="B19" s="151"/>
      <c r="C19" s="151"/>
      <c r="D19" s="151"/>
      <c r="E19" s="151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69" t="s">
        <v>97</v>
      </c>
      <c r="B21" s="169"/>
      <c r="C21" s="169"/>
      <c r="D21" s="169"/>
      <c r="E21" s="16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SUM(I6,I7,I8,I15)</f>
        <v>0</v>
      </c>
      <c r="D23" s="68">
        <f>SUM(J6,J7,J8,J15,K6,K7,K8,K15,L6,L7,L8,L15)</f>
        <v>0</v>
      </c>
      <c r="E23" s="68">
        <f>SUM(H6,H7,H8,H15)</f>
        <v>0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SUM(H18)</f>
        <v>762350</v>
      </c>
    </row>
    <row r="25" spans="1:16" x14ac:dyDescent="0.25">
      <c r="A25" s="138"/>
      <c r="B25" s="4" t="s">
        <v>28</v>
      </c>
      <c r="C25" s="92">
        <f>SUM(C23:C24)</f>
        <v>648000</v>
      </c>
      <c r="D25" s="92">
        <f>SUM(D23:D24)</f>
        <v>114.35</v>
      </c>
      <c r="E25" s="92">
        <f>SUM(E23,E24)</f>
        <v>762350</v>
      </c>
    </row>
    <row r="26" spans="1:16" ht="14.25" customHeight="1" x14ac:dyDescent="0.25">
      <c r="A26" s="138" t="s">
        <v>29</v>
      </c>
      <c r="B26" s="9" t="s">
        <v>11</v>
      </c>
      <c r="C26" s="68">
        <f>SUM(I14,I16,I17)</f>
        <v>0</v>
      </c>
      <c r="D26" s="68">
        <f>SUM(J14,J16,J17,K14,K16,K17,L14,L16,L17)</f>
        <v>0</v>
      </c>
      <c r="E26" s="68">
        <f>SUM(H14,H16,H17)</f>
        <v>0</v>
      </c>
    </row>
    <row r="27" spans="1:16" x14ac:dyDescent="0.25">
      <c r="A27" s="138"/>
      <c r="B27" s="4" t="s">
        <v>30</v>
      </c>
      <c r="C27" s="92">
        <f>SUM(C26)</f>
        <v>0</v>
      </c>
      <c r="D27" s="92">
        <f>SUM(D26)</f>
        <v>0</v>
      </c>
      <c r="E27" s="9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63">
        <f>SUM(I9,I10,I12,I13)</f>
        <v>0</v>
      </c>
      <c r="D28" s="68">
        <f>SUM(J9,J10,J12,J13,K9,K10,K12,K13,L9,L10,L12,L13)</f>
        <v>0</v>
      </c>
      <c r="E28" s="68">
        <f>SUM(H9,H10,H12,H13)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92">
        <f>SUM(E28)</f>
        <v>0</v>
      </c>
    </row>
    <row r="30" spans="1:16" x14ac:dyDescent="0.25">
      <c r="A30" s="7" t="s">
        <v>33</v>
      </c>
      <c r="B30" s="4" t="s">
        <v>14</v>
      </c>
      <c r="C30" s="95">
        <f>C25+C27+C29</f>
        <v>648000</v>
      </c>
      <c r="D30" s="95">
        <f>D25+D27+D29</f>
        <v>114.35</v>
      </c>
      <c r="E30" s="95">
        <f>E25+E27+E29</f>
        <v>762350</v>
      </c>
    </row>
    <row r="32" spans="1:16" x14ac:dyDescent="0.25">
      <c r="A32" s="166" t="s">
        <v>79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1" ht="15" customHeight="1" x14ac:dyDescent="0.25">
      <c r="A33" s="167" t="s">
        <v>56</v>
      </c>
      <c r="B33" s="167" t="s">
        <v>80</v>
      </c>
      <c r="C33" s="167" t="s">
        <v>5</v>
      </c>
      <c r="D33" s="167" t="s">
        <v>58</v>
      </c>
      <c r="E33" s="162" t="s">
        <v>84</v>
      </c>
      <c r="F33" s="163"/>
      <c r="G33" s="163"/>
      <c r="H33" s="163"/>
      <c r="I33" s="163"/>
      <c r="J33" s="164"/>
      <c r="K33" s="153" t="s">
        <v>82</v>
      </c>
    </row>
    <row r="34" spans="1:11" ht="14.25" customHeight="1" x14ac:dyDescent="0.25">
      <c r="A34" s="167"/>
      <c r="B34" s="167"/>
      <c r="C34" s="167"/>
      <c r="D34" s="167"/>
      <c r="E34" s="170" t="s">
        <v>7</v>
      </c>
      <c r="F34" s="171" t="s">
        <v>59</v>
      </c>
      <c r="G34" s="171"/>
      <c r="H34" s="172" t="s">
        <v>9</v>
      </c>
      <c r="I34" s="173"/>
      <c r="J34" s="174"/>
      <c r="K34" s="153"/>
    </row>
    <row r="35" spans="1:11" ht="14.25" customHeight="1" x14ac:dyDescent="0.25">
      <c r="A35" s="167"/>
      <c r="B35" s="167"/>
      <c r="C35" s="167"/>
      <c r="D35" s="167"/>
      <c r="E35" s="170"/>
      <c r="F35" s="171"/>
      <c r="G35" s="171"/>
      <c r="H35" s="175"/>
      <c r="I35" s="176"/>
      <c r="J35" s="177"/>
      <c r="K35" s="153"/>
    </row>
    <row r="36" spans="1:11" ht="63.75" x14ac:dyDescent="0.25">
      <c r="A36" s="167"/>
      <c r="B36" s="167"/>
      <c r="C36" s="167"/>
      <c r="D36" s="167"/>
      <c r="E36" s="170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53"/>
    </row>
    <row r="37" spans="1:11" x14ac:dyDescent="0.25">
      <c r="A37" s="46" t="s">
        <v>11</v>
      </c>
      <c r="B37" s="47">
        <v>2</v>
      </c>
      <c r="C37" s="50" t="s">
        <v>49</v>
      </c>
      <c r="D37" s="48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65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1">SUM(H10,H12,H13)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84">
        <f>SUM(M10:M13)</f>
        <v>0</v>
      </c>
      <c r="K38" s="49">
        <f>SUM(N10,N12,N13)</f>
        <v>0</v>
      </c>
    </row>
    <row r="39" spans="1:11" x14ac:dyDescent="0.25">
      <c r="A39" s="165"/>
      <c r="B39" s="50" t="s">
        <v>45</v>
      </c>
      <c r="C39" s="50" t="s">
        <v>46</v>
      </c>
      <c r="D39" s="50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4">SUM(H18)</f>
        <v>762350</v>
      </c>
      <c r="F41" s="49">
        <f t="shared" si="4"/>
        <v>648000</v>
      </c>
      <c r="G41" s="49">
        <f t="shared" si="4"/>
        <v>0</v>
      </c>
      <c r="H41" s="49">
        <f t="shared" si="4"/>
        <v>114350</v>
      </c>
      <c r="I41" s="49">
        <f t="shared" si="4"/>
        <v>0</v>
      </c>
      <c r="J41" s="122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 Celkový finanční plán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Surmař</dc:creator>
  <dc:description/>
  <cp:lastModifiedBy>lenovo</cp:lastModifiedBy>
  <cp:revision>3</cp:revision>
  <dcterms:created xsi:type="dcterms:W3CDTF">2006-10-17T13:37:20Z</dcterms:created>
  <dcterms:modified xsi:type="dcterms:W3CDTF">2020-01-09T07:53:43Z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