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ravce\Downloads\"/>
    </mc:Choice>
  </mc:AlternateContent>
  <xr:revisionPtr revIDLastSave="0" documentId="13_ncr:1_{C3CA7744-FDC3-4D02-B4B8-B414D253EA2C}" xr6:coauthVersionLast="47" xr6:coauthVersionMax="47" xr10:uidLastSave="{00000000-0000-0000-0000-000000000000}"/>
  <bookViews>
    <workbookView xWindow="-120" yWindow="-120" windowWidth="29040" windowHeight="15840" tabRatio="699" xr2:uid="{00000000-000D-0000-FFFF-FFFF00000000}"/>
  </bookViews>
  <sheets>
    <sheet name=" Celkový finanční plán" sheetId="2" r:id="rId1"/>
    <sheet name="2016" sheetId="3" r:id="rId2"/>
    <sheet name="2017" sheetId="4" r:id="rId3"/>
    <sheet name="2018" sheetId="5" r:id="rId4"/>
    <sheet name="2019" sheetId="6" r:id="rId5"/>
    <sheet name="2020" sheetId="7" r:id="rId6"/>
    <sheet name="2021" sheetId="8" r:id="rId7"/>
    <sheet name="2022" sheetId="9" r:id="rId8"/>
    <sheet name="2023" sheetId="10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8" l="1"/>
  <c r="H11" i="8"/>
  <c r="H12" i="8"/>
  <c r="H13" i="8"/>
  <c r="H9" i="8"/>
  <c r="H10" i="7"/>
  <c r="H11" i="7"/>
  <c r="H12" i="7"/>
  <c r="H13" i="7"/>
  <c r="H9" i="7"/>
  <c r="H10" i="6"/>
  <c r="H11" i="6"/>
  <c r="H12" i="6"/>
  <c r="H13" i="6"/>
  <c r="H9" i="6"/>
  <c r="M13" i="2"/>
  <c r="J13" i="2"/>
  <c r="I13" i="2"/>
  <c r="H13" i="2"/>
  <c r="M11" i="2"/>
  <c r="J11" i="2"/>
  <c r="I11" i="2"/>
  <c r="H11" i="2"/>
  <c r="I10" i="2"/>
  <c r="M10" i="2"/>
  <c r="J10" i="2"/>
  <c r="H10" i="2"/>
  <c r="L8" i="8"/>
  <c r="K7" i="8"/>
  <c r="K6" i="8"/>
  <c r="L8" i="7"/>
  <c r="K7" i="7"/>
  <c r="K6" i="7"/>
  <c r="K7" i="6"/>
  <c r="K6" i="6"/>
  <c r="K6" i="5"/>
  <c r="N13" i="5" l="1"/>
  <c r="N12" i="5"/>
  <c r="N10" i="5"/>
  <c r="M10" i="8"/>
  <c r="J38" i="10" l="1"/>
  <c r="J38" i="9"/>
  <c r="G38" i="8"/>
  <c r="F38" i="8"/>
  <c r="E38" i="8"/>
  <c r="G38" i="7"/>
  <c r="F38" i="7"/>
  <c r="E38" i="7"/>
  <c r="G38" i="6"/>
  <c r="F38" i="6"/>
  <c r="E38" i="6"/>
  <c r="G38" i="5"/>
  <c r="F38" i="5"/>
  <c r="E38" i="5"/>
  <c r="J38" i="2"/>
  <c r="J38" i="8"/>
  <c r="J38" i="7"/>
  <c r="J38" i="6"/>
  <c r="J38" i="5"/>
  <c r="G38" i="2" l="1"/>
  <c r="F38" i="2"/>
  <c r="E38" i="2"/>
  <c r="C28" i="2" l="1"/>
  <c r="C23" i="9" l="1"/>
  <c r="C23" i="8"/>
  <c r="D25" i="7"/>
  <c r="C23" i="7"/>
  <c r="C23" i="6"/>
  <c r="E24" i="5" l="1"/>
  <c r="C23" i="5"/>
  <c r="C25" i="5" s="1"/>
  <c r="C24" i="4"/>
  <c r="D25" i="2"/>
  <c r="C24" i="2"/>
  <c r="C23" i="2"/>
  <c r="C25" i="2" s="1"/>
  <c r="E23" i="5" l="1"/>
  <c r="K18" i="10"/>
  <c r="I18" i="10"/>
  <c r="H18" i="10"/>
  <c r="K18" i="9"/>
  <c r="I18" i="9"/>
  <c r="H18" i="9"/>
  <c r="J16" i="9"/>
  <c r="I16" i="9"/>
  <c r="H16" i="9"/>
  <c r="K18" i="8"/>
  <c r="I18" i="8"/>
  <c r="H18" i="8"/>
  <c r="L16" i="8"/>
  <c r="K16" i="8"/>
  <c r="J16" i="8"/>
  <c r="I16" i="8"/>
  <c r="H16" i="8"/>
  <c r="L14" i="8"/>
  <c r="K14" i="8"/>
  <c r="J14" i="8"/>
  <c r="I14" i="8"/>
  <c r="H14" i="8"/>
  <c r="K18" i="7"/>
  <c r="I18" i="7"/>
  <c r="H18" i="7"/>
  <c r="L16" i="7"/>
  <c r="K16" i="7"/>
  <c r="J16" i="7"/>
  <c r="I16" i="7"/>
  <c r="H16" i="7"/>
  <c r="L14" i="7"/>
  <c r="K14" i="7"/>
  <c r="J14" i="7"/>
  <c r="I14" i="7"/>
  <c r="H14" i="7"/>
  <c r="D28" i="7"/>
  <c r="D29" i="7" s="1"/>
  <c r="C28" i="7"/>
  <c r="K18" i="6"/>
  <c r="I18" i="6"/>
  <c r="H18" i="6"/>
  <c r="L16" i="6"/>
  <c r="K16" i="6"/>
  <c r="J16" i="6"/>
  <c r="I16" i="6"/>
  <c r="H16" i="6"/>
  <c r="L14" i="6"/>
  <c r="K14" i="6"/>
  <c r="J14" i="6"/>
  <c r="I14" i="6"/>
  <c r="C26" i="6" s="1"/>
  <c r="C27" i="6" s="1"/>
  <c r="H14" i="6"/>
  <c r="D28" i="6"/>
  <c r="D29" i="6" s="1"/>
  <c r="C28" i="6"/>
  <c r="C29" i="6" s="1"/>
  <c r="L16" i="5"/>
  <c r="K16" i="5"/>
  <c r="J16" i="5"/>
  <c r="I16" i="5"/>
  <c r="L14" i="5"/>
  <c r="K14" i="5"/>
  <c r="J14" i="5"/>
  <c r="I14" i="5"/>
  <c r="C26" i="5" s="1"/>
  <c r="C27" i="5" s="1"/>
  <c r="H14" i="5"/>
  <c r="D28" i="5"/>
  <c r="D29" i="5" s="1"/>
  <c r="C28" i="5"/>
  <c r="C29" i="5" s="1"/>
  <c r="D28" i="4"/>
  <c r="C28" i="4"/>
  <c r="D28" i="2"/>
  <c r="D29" i="2" s="1"/>
  <c r="D26" i="5" l="1"/>
  <c r="D27" i="5" s="1"/>
  <c r="E28" i="4"/>
  <c r="C29" i="7"/>
  <c r="E28" i="7"/>
  <c r="E29" i="7" s="1"/>
  <c r="K41" i="10"/>
  <c r="I41" i="10"/>
  <c r="G41" i="10"/>
  <c r="F41" i="10"/>
  <c r="K40" i="10"/>
  <c r="G40" i="10"/>
  <c r="F40" i="10"/>
  <c r="K39" i="10"/>
  <c r="H39" i="10"/>
  <c r="F39" i="10"/>
  <c r="E39" i="10"/>
  <c r="K38" i="10"/>
  <c r="H38" i="10"/>
  <c r="F38" i="10"/>
  <c r="E38" i="10"/>
  <c r="K37" i="10"/>
  <c r="F37" i="10"/>
  <c r="E28" i="10"/>
  <c r="E29" i="10" s="1"/>
  <c r="C28" i="10"/>
  <c r="C29" i="10" s="1"/>
  <c r="C26" i="10"/>
  <c r="C27" i="10" s="1"/>
  <c r="E24" i="10"/>
  <c r="C24" i="10"/>
  <c r="C23" i="10"/>
  <c r="E41" i="10"/>
  <c r="H17" i="10"/>
  <c r="E37" i="10" s="1"/>
  <c r="K16" i="10"/>
  <c r="J16" i="10"/>
  <c r="K14" i="10"/>
  <c r="J14" i="10"/>
  <c r="I39" i="10"/>
  <c r="J9" i="10"/>
  <c r="H8" i="10"/>
  <c r="L8" i="10" s="1"/>
  <c r="I40" i="10" s="1"/>
  <c r="H7" i="10"/>
  <c r="E23" i="10" s="1"/>
  <c r="H6" i="10"/>
  <c r="K41" i="9"/>
  <c r="I41" i="9"/>
  <c r="H41" i="9"/>
  <c r="G41" i="9"/>
  <c r="F41" i="9"/>
  <c r="K40" i="9"/>
  <c r="G40" i="9"/>
  <c r="K39" i="9"/>
  <c r="H39" i="9"/>
  <c r="E39" i="9"/>
  <c r="K38" i="9"/>
  <c r="H38" i="9"/>
  <c r="K37" i="9"/>
  <c r="H37" i="9"/>
  <c r="G37" i="9"/>
  <c r="F37" i="9"/>
  <c r="D26" i="9"/>
  <c r="D27" i="9" s="1"/>
  <c r="C26" i="9"/>
  <c r="C24" i="9"/>
  <c r="C25" i="9" s="1"/>
  <c r="E23" i="9"/>
  <c r="E41" i="9"/>
  <c r="L17" i="9"/>
  <c r="I37" i="9" s="1"/>
  <c r="F40" i="9"/>
  <c r="L9" i="9"/>
  <c r="I39" i="9" s="1"/>
  <c r="J9" i="9"/>
  <c r="G39" i="9" s="1"/>
  <c r="I9" i="9"/>
  <c r="I40" i="9"/>
  <c r="E40" i="9"/>
  <c r="K41" i="8"/>
  <c r="I41" i="8"/>
  <c r="H41" i="8"/>
  <c r="G41" i="8"/>
  <c r="F41" i="8"/>
  <c r="E41" i="8"/>
  <c r="K40" i="8"/>
  <c r="G40" i="8"/>
  <c r="K39" i="8"/>
  <c r="H39" i="8"/>
  <c r="E39" i="8"/>
  <c r="K38" i="8"/>
  <c r="H38" i="8"/>
  <c r="K37" i="8"/>
  <c r="C24" i="8"/>
  <c r="E23" i="8"/>
  <c r="F40" i="8"/>
  <c r="I37" i="8"/>
  <c r="H37" i="8"/>
  <c r="G37" i="8"/>
  <c r="F37" i="8"/>
  <c r="I38" i="8"/>
  <c r="I39" i="8"/>
  <c r="I40" i="8"/>
  <c r="E40" i="8"/>
  <c r="K41" i="7"/>
  <c r="I41" i="7"/>
  <c r="G41" i="7"/>
  <c r="F41" i="7"/>
  <c r="K40" i="7"/>
  <c r="G40" i="7"/>
  <c r="K39" i="7"/>
  <c r="H39" i="7"/>
  <c r="G39" i="7"/>
  <c r="E39" i="7"/>
  <c r="K38" i="7"/>
  <c r="H38" i="7"/>
  <c r="K37" i="7"/>
  <c r="F37" i="7"/>
  <c r="C26" i="7"/>
  <c r="C27" i="7" s="1"/>
  <c r="C24" i="7"/>
  <c r="E23" i="7"/>
  <c r="E41" i="7"/>
  <c r="I40" i="7"/>
  <c r="F40" i="7"/>
  <c r="I37" i="7"/>
  <c r="H37" i="7"/>
  <c r="G37" i="7"/>
  <c r="I38" i="7"/>
  <c r="I39" i="7"/>
  <c r="F39" i="7"/>
  <c r="E40" i="7"/>
  <c r="K41" i="6"/>
  <c r="I41" i="6"/>
  <c r="H41" i="6"/>
  <c r="G41" i="6"/>
  <c r="F41" i="6"/>
  <c r="E41" i="6"/>
  <c r="K40" i="6"/>
  <c r="I40" i="6"/>
  <c r="H40" i="6"/>
  <c r="G40" i="6"/>
  <c r="F40" i="6"/>
  <c r="E40" i="6"/>
  <c r="K39" i="6"/>
  <c r="I39" i="6"/>
  <c r="H39" i="6"/>
  <c r="G39" i="6"/>
  <c r="F39" i="6"/>
  <c r="E39" i="6"/>
  <c r="K38" i="6"/>
  <c r="I38" i="6"/>
  <c r="H38" i="6"/>
  <c r="K37" i="6"/>
  <c r="I37" i="6"/>
  <c r="H37" i="6"/>
  <c r="G37" i="6"/>
  <c r="F37" i="6"/>
  <c r="E28" i="6"/>
  <c r="E29" i="6" s="1"/>
  <c r="D26" i="6"/>
  <c r="D27" i="6" s="1"/>
  <c r="D25" i="6"/>
  <c r="C24" i="6"/>
  <c r="C25" i="6" s="1"/>
  <c r="C30" i="6" s="1"/>
  <c r="E23" i="6"/>
  <c r="K41" i="5"/>
  <c r="I41" i="5"/>
  <c r="G41" i="5"/>
  <c r="F41" i="5"/>
  <c r="E41" i="5"/>
  <c r="K40" i="5"/>
  <c r="G40" i="5"/>
  <c r="K39" i="5"/>
  <c r="H39" i="5"/>
  <c r="E39" i="5"/>
  <c r="K38" i="5"/>
  <c r="H38" i="5"/>
  <c r="K37" i="5"/>
  <c r="H37" i="5"/>
  <c r="G37" i="5"/>
  <c r="C30" i="5"/>
  <c r="E28" i="5"/>
  <c r="E29" i="5" s="1"/>
  <c r="E26" i="5"/>
  <c r="E27" i="5" s="1"/>
  <c r="D25" i="5"/>
  <c r="K18" i="5"/>
  <c r="H41" i="5" s="1"/>
  <c r="L17" i="5"/>
  <c r="I37" i="5" s="1"/>
  <c r="F37" i="5"/>
  <c r="F40" i="5"/>
  <c r="I39" i="5"/>
  <c r="G39" i="5"/>
  <c r="F39" i="5"/>
  <c r="I40" i="5"/>
  <c r="H40" i="5"/>
  <c r="K41" i="4"/>
  <c r="I41" i="4"/>
  <c r="G41" i="4"/>
  <c r="F41" i="4"/>
  <c r="E41" i="4"/>
  <c r="K40" i="4"/>
  <c r="G40" i="4"/>
  <c r="K39" i="4"/>
  <c r="I39" i="4"/>
  <c r="H39" i="4"/>
  <c r="F39" i="4"/>
  <c r="E39" i="4"/>
  <c r="K38" i="4"/>
  <c r="H38" i="4"/>
  <c r="G38" i="4"/>
  <c r="E38" i="4"/>
  <c r="K37" i="4"/>
  <c r="I37" i="4"/>
  <c r="H37" i="4"/>
  <c r="G37" i="4"/>
  <c r="F37" i="4"/>
  <c r="E37" i="4"/>
  <c r="D29" i="4"/>
  <c r="C29" i="4"/>
  <c r="D26" i="4"/>
  <c r="D27" i="4" s="1"/>
  <c r="C26" i="4"/>
  <c r="C27" i="4" s="1"/>
  <c r="D25" i="4"/>
  <c r="E24" i="4"/>
  <c r="E23" i="4"/>
  <c r="H41" i="4"/>
  <c r="F40" i="4"/>
  <c r="I38" i="4"/>
  <c r="F38" i="4"/>
  <c r="G39" i="4"/>
  <c r="I40" i="4"/>
  <c r="E40" i="4"/>
  <c r="K41" i="3"/>
  <c r="I41" i="3"/>
  <c r="G41" i="3"/>
  <c r="F41" i="3"/>
  <c r="K40" i="3"/>
  <c r="G40" i="3"/>
  <c r="F40" i="3"/>
  <c r="K39" i="3"/>
  <c r="H39" i="3"/>
  <c r="F39" i="3"/>
  <c r="E39" i="3"/>
  <c r="K38" i="3"/>
  <c r="H38" i="3"/>
  <c r="F38" i="3"/>
  <c r="E38" i="3"/>
  <c r="K37" i="3"/>
  <c r="F37" i="3"/>
  <c r="E28" i="3"/>
  <c r="E29" i="3" s="1"/>
  <c r="C28" i="3"/>
  <c r="C29" i="3" s="1"/>
  <c r="E26" i="3"/>
  <c r="E27" i="3" s="1"/>
  <c r="C26" i="3"/>
  <c r="C27" i="3" s="1"/>
  <c r="C24" i="3"/>
  <c r="C23" i="3"/>
  <c r="C25" i="3" s="1"/>
  <c r="H18" i="3"/>
  <c r="E24" i="3" s="1"/>
  <c r="H17" i="3"/>
  <c r="L17" i="3" s="1"/>
  <c r="K16" i="3"/>
  <c r="J16" i="3"/>
  <c r="L15" i="3"/>
  <c r="L14" i="3"/>
  <c r="I37" i="3" s="1"/>
  <c r="K14" i="3"/>
  <c r="J14" i="3"/>
  <c r="G37" i="3" s="1"/>
  <c r="L13" i="3"/>
  <c r="J13" i="3"/>
  <c r="L12" i="3"/>
  <c r="J12" i="3"/>
  <c r="L10" i="3"/>
  <c r="J10" i="3"/>
  <c r="L9" i="3"/>
  <c r="I39" i="3" s="1"/>
  <c r="J9" i="3"/>
  <c r="G39" i="3" s="1"/>
  <c r="H8" i="3"/>
  <c r="L8" i="3" s="1"/>
  <c r="I40" i="3" s="1"/>
  <c r="H7" i="3"/>
  <c r="H6" i="3"/>
  <c r="K6" i="3" s="1"/>
  <c r="K41" i="2"/>
  <c r="I41" i="2"/>
  <c r="H41" i="2"/>
  <c r="G41" i="2"/>
  <c r="F41" i="2"/>
  <c r="E41" i="2"/>
  <c r="K40" i="2"/>
  <c r="I40" i="2"/>
  <c r="H40" i="2"/>
  <c r="G40" i="2"/>
  <c r="F40" i="2"/>
  <c r="E40" i="2"/>
  <c r="K39" i="2"/>
  <c r="I39" i="2"/>
  <c r="H39" i="2"/>
  <c r="G39" i="2"/>
  <c r="F39" i="2"/>
  <c r="E39" i="2"/>
  <c r="K38" i="2"/>
  <c r="I38" i="2"/>
  <c r="H38" i="2"/>
  <c r="K37" i="2"/>
  <c r="I37" i="2"/>
  <c r="H37" i="2"/>
  <c r="G37" i="2"/>
  <c r="F37" i="2"/>
  <c r="E37" i="2"/>
  <c r="G28" i="2"/>
  <c r="G26" i="2"/>
  <c r="D26" i="2"/>
  <c r="D27" i="2" s="1"/>
  <c r="D30" i="2" s="1"/>
  <c r="C26" i="2"/>
  <c r="C27" i="2" s="1"/>
  <c r="G24" i="2"/>
  <c r="E24" i="2"/>
  <c r="G23" i="2"/>
  <c r="E23" i="2"/>
  <c r="E40" i="3" l="1"/>
  <c r="H37" i="3"/>
  <c r="D30" i="6"/>
  <c r="E30" i="6" s="1"/>
  <c r="I38" i="3"/>
  <c r="G37" i="10"/>
  <c r="D28" i="10"/>
  <c r="D29" i="10" s="1"/>
  <c r="E29" i="4"/>
  <c r="E23" i="3"/>
  <c r="E25" i="3" s="1"/>
  <c r="E30" i="3" s="1"/>
  <c r="E25" i="2"/>
  <c r="K7" i="3"/>
  <c r="G38" i="3"/>
  <c r="E24" i="6"/>
  <c r="G39" i="8"/>
  <c r="D28" i="8"/>
  <c r="D29" i="8" s="1"/>
  <c r="E24" i="8"/>
  <c r="E25" i="8" s="1"/>
  <c r="C25" i="8"/>
  <c r="H37" i="10"/>
  <c r="F39" i="8"/>
  <c r="C28" i="8"/>
  <c r="D30" i="5"/>
  <c r="E25" i="5"/>
  <c r="E24" i="7"/>
  <c r="E25" i="7" s="1"/>
  <c r="C25" i="7"/>
  <c r="C30" i="7" s="1"/>
  <c r="E40" i="10"/>
  <c r="K8" i="10"/>
  <c r="G38" i="10"/>
  <c r="L17" i="10"/>
  <c r="I37" i="10" s="1"/>
  <c r="E28" i="2"/>
  <c r="E29" i="2" s="1"/>
  <c r="C29" i="2"/>
  <c r="C30" i="2" s="1"/>
  <c r="E25" i="4"/>
  <c r="K6" i="10"/>
  <c r="I38" i="10"/>
  <c r="C25" i="10"/>
  <c r="C30" i="10" s="1"/>
  <c r="E25" i="10"/>
  <c r="E24" i="9"/>
  <c r="E25" i="9" s="1"/>
  <c r="E26" i="9"/>
  <c r="C27" i="9"/>
  <c r="E27" i="9" s="1"/>
  <c r="E26" i="6"/>
  <c r="E27" i="6" s="1"/>
  <c r="I38" i="5"/>
  <c r="D30" i="4"/>
  <c r="G30" i="2"/>
  <c r="C30" i="3"/>
  <c r="E30" i="5"/>
  <c r="C30" i="4"/>
  <c r="H40" i="9"/>
  <c r="E26" i="2"/>
  <c r="E27" i="2" s="1"/>
  <c r="K18" i="3"/>
  <c r="H40" i="4"/>
  <c r="E26" i="4"/>
  <c r="E27" i="4" s="1"/>
  <c r="H40" i="7"/>
  <c r="D26" i="7"/>
  <c r="C26" i="8"/>
  <c r="C27" i="8" s="1"/>
  <c r="F39" i="9"/>
  <c r="K7" i="10"/>
  <c r="D26" i="10"/>
  <c r="D27" i="10" s="1"/>
  <c r="G39" i="10"/>
  <c r="D26" i="3"/>
  <c r="D27" i="3" s="1"/>
  <c r="K8" i="3"/>
  <c r="D23" i="3" s="1"/>
  <c r="D28" i="3"/>
  <c r="D29" i="3" s="1"/>
  <c r="E37" i="3"/>
  <c r="E41" i="3"/>
  <c r="E40" i="5"/>
  <c r="E25" i="6"/>
  <c r="H41" i="7"/>
  <c r="D26" i="8"/>
  <c r="D27" i="8" s="1"/>
  <c r="E26" i="10"/>
  <c r="E27" i="10" s="1"/>
  <c r="E30" i="2" l="1"/>
  <c r="E30" i="10"/>
  <c r="D30" i="8"/>
  <c r="D23" i="10"/>
  <c r="D25" i="10" s="1"/>
  <c r="D30" i="10" s="1"/>
  <c r="E26" i="7"/>
  <c r="E27" i="7" s="1"/>
  <c r="E30" i="7" s="1"/>
  <c r="D27" i="7"/>
  <c r="D30" i="7" s="1"/>
  <c r="C29" i="8"/>
  <c r="C30" i="8" s="1"/>
  <c r="E28" i="8"/>
  <c r="E29" i="8" s="1"/>
  <c r="E30" i="4"/>
  <c r="D24" i="3"/>
  <c r="D25" i="3" s="1"/>
  <c r="D30" i="3" s="1"/>
  <c r="H41" i="3"/>
  <c r="H40" i="3"/>
  <c r="H40" i="8"/>
  <c r="E26" i="8"/>
  <c r="E27" i="8" s="1"/>
  <c r="H40" i="10"/>
  <c r="H41" i="10"/>
  <c r="E30" i="8" l="1"/>
  <c r="G38" i="9"/>
  <c r="I38" i="9"/>
  <c r="E38" i="9"/>
  <c r="C28" i="9"/>
  <c r="F38" i="9"/>
  <c r="C29" i="9" l="1"/>
  <c r="D28" i="9"/>
  <c r="D29" i="9" s="1"/>
  <c r="D30" i="9" s="1"/>
  <c r="E29" i="9" l="1"/>
  <c r="C30" i="9"/>
  <c r="E30" i="9" s="1"/>
  <c r="E28" i="9"/>
</calcChain>
</file>

<file path=xl/sharedStrings.xml><?xml version="1.0" encoding="utf-8"?>
<sst xmlns="http://schemas.openxmlformats.org/spreadsheetml/2006/main" count="1252" uniqueCount="110">
  <si>
    <t>Specifický cíl SCLLD</t>
  </si>
  <si>
    <t>Podopatření SCLLD</t>
  </si>
  <si>
    <t>IDENTIFIKACE programu</t>
  </si>
  <si>
    <t>Program</t>
  </si>
  <si>
    <t>Prioritní osa OP/ Priorita Unie</t>
  </si>
  <si>
    <t>Investiční priorita OP/ Prioritní oblast</t>
  </si>
  <si>
    <t>Specifický cíl OP/ Operace PRV</t>
  </si>
  <si>
    <t>Celkové způsobilé výdaje (CZV)</t>
  </si>
  <si>
    <t>z toho  Podpora</t>
  </si>
  <si>
    <t>Z toho Vlastní zdroje příjemce</t>
  </si>
  <si>
    <t>IROP</t>
  </si>
  <si>
    <t>OP Z</t>
  </si>
  <si>
    <t>PRV</t>
  </si>
  <si>
    <t>OP ŽP</t>
  </si>
  <si>
    <t>Celkem</t>
  </si>
  <si>
    <t>SC 1.1</t>
  </si>
  <si>
    <t>O 1.1.1</t>
  </si>
  <si>
    <t>SC 1.2</t>
  </si>
  <si>
    <t>O 1.2.2</t>
  </si>
  <si>
    <t>SC 2.1</t>
  </si>
  <si>
    <t>OPZ</t>
  </si>
  <si>
    <t>SC 2.2</t>
  </si>
  <si>
    <t>O 2.2.1</t>
  </si>
  <si>
    <t>O 2.2.2</t>
  </si>
  <si>
    <t>SC 3.1</t>
  </si>
  <si>
    <t>O 3.1.1</t>
  </si>
  <si>
    <t>Fond</t>
  </si>
  <si>
    <t>ERDF</t>
  </si>
  <si>
    <t>Celkem ERDF</t>
  </si>
  <si>
    <t>ESF</t>
  </si>
  <si>
    <t>Celkem ESF</t>
  </si>
  <si>
    <t>EZFRV</t>
  </si>
  <si>
    <t>Celkem EZFRV</t>
  </si>
  <si>
    <t xml:space="preserve"> Celkem</t>
  </si>
  <si>
    <t xml:space="preserve">e) Financování podle jednotlivých specifických cílů a opatření (příp. podopatření) SCLLD v letech 2016 - 2023 </t>
  </si>
  <si>
    <t>Příspěvek Unie (a)</t>
  </si>
  <si>
    <t>Národní veřejné zdroje (SR,SF) (b)</t>
  </si>
  <si>
    <t xml:space="preserve">Národní veřejné zdroje (kraj, obec, jiné) (c ) </t>
  </si>
  <si>
    <t>Národní soukromé zdroje (d)</t>
  </si>
  <si>
    <t>Unie + SR, SF</t>
  </si>
  <si>
    <t>9d</t>
  </si>
  <si>
    <t>4.1</t>
  </si>
  <si>
    <t>SC 1.3</t>
  </si>
  <si>
    <t>O 1.3.4</t>
  </si>
  <si>
    <t>SC 1.4</t>
  </si>
  <si>
    <t>6</t>
  </si>
  <si>
    <t>6b</t>
  </si>
  <si>
    <t>19.3.1</t>
  </si>
  <si>
    <t>19.2.1</t>
  </si>
  <si>
    <t>2.3</t>
  </si>
  <si>
    <t>2.3.1</t>
  </si>
  <si>
    <t>O 2.2.3</t>
  </si>
  <si>
    <t>O 2.2.5</t>
  </si>
  <si>
    <t>OPŽP</t>
  </si>
  <si>
    <t>4.3</t>
  </si>
  <si>
    <t>f) Financování SCLLD v letech 2016 - 2023 podle specifických cílů operačních programů / opatření EZFRV (PRV)</t>
  </si>
  <si>
    <t>Programový rámec</t>
  </si>
  <si>
    <t>Prioritní osa OP / Priorita Unie</t>
  </si>
  <si>
    <t>Specifický cíl OP/operace PRV</t>
  </si>
  <si>
    <t>Z toho Podpora</t>
  </si>
  <si>
    <t>Příspěvek Unie                  (a)</t>
  </si>
  <si>
    <t>Národní veřejné zdroje (SR, SF) (b)</t>
  </si>
  <si>
    <t>Národní veřejné zdroje (kraj, obec, jiné)          (c)</t>
  </si>
  <si>
    <t>e) Financování podle jednotlivých specifických cílů a opatření (příp. podopatření) SCLLD v roku 2016</t>
  </si>
  <si>
    <t>Celkové způsobilé výdaje (CSV)</t>
  </si>
  <si>
    <t>f) Financování SCLLD v roku 2016 p odle specifický ch cílů operačních programů / op atření EZFRV (PRV)</t>
  </si>
  <si>
    <t>e) Financování podle jednotlivých specifických cílů a opatření (příp. podopatření) SCLLD v roku 2017</t>
  </si>
  <si>
    <t>f) Financování SCLLD v roku 2017 podle specifický ch cílů operačních programů / opatření EZFRV (PRV)</t>
  </si>
  <si>
    <t>e) Financování podle jednotlivých specifických cílů a opatření (příp. podopatření) SCLLD v roku 2018</t>
  </si>
  <si>
    <t>f) Financování SCLLD v roku 2018 podle specifických cílů operačních programů / opatření EZFRV (PRV)</t>
  </si>
  <si>
    <t>e) Financování podle jednotlivých specifických cílů a opatření (příp. podopatření) SCLLD v roku 2019</t>
  </si>
  <si>
    <t>f) Financování SCLLD v roku 2019 podle specifických cílů operačních programů / opatření EZFRV (PRV)</t>
  </si>
  <si>
    <t>e) Financování podle jednotlivých specifických cílů a opatření (příp. podopatření) SCLLD v roku 2020</t>
  </si>
  <si>
    <t>f) Financování SCLLD v roku 2020 podle specifických cílů operačních programů / opatření EZFRV (PRV)</t>
  </si>
  <si>
    <t>e) Financování podle jednotlivých specifických cílů a opatření (příp. podopatření) SCLLD v roku 2021</t>
  </si>
  <si>
    <t>f) Financování SCLLD v roku 2021 podle specifických cílů operačních programů / opatření EZFRV (PRV)</t>
  </si>
  <si>
    <t>e) Financování podle jednotlivých specifických cílů a opatření (příp. podopatření) SCLLD v roku 2022</t>
  </si>
  <si>
    <t>f) Financování SCLLD v roku 2022 podle specifických cílů operačních programů / opatření EZFRV (PRV)</t>
  </si>
  <si>
    <t>e) Financování podle jednotlivých specifických cílů a opatření (příp. podopatření) SCLLD v roku 2023</t>
  </si>
  <si>
    <t>f) Financování SCLLD v roku 2023 podle specifických cílů operačních programů / opatření EZFRV (PRV)</t>
  </si>
  <si>
    <t>Prioritní osa / Priorita Unie</t>
  </si>
  <si>
    <t>PLÁN FINANCOVÁNÍ (způsobilé výdaje v Kč)</t>
  </si>
  <si>
    <t>Nezpůsobilé výdaje (Kč)</t>
  </si>
  <si>
    <t>h ) Financování podle programů a ESI fondů (Podpora v Kč) v letech 2016 - 2023</t>
  </si>
  <si>
    <t>PLÁN FINANCOVÁNÍ (způsobilé výdaje v Kč)</t>
  </si>
  <si>
    <t>h ) Financování podle programů a ESI fondů (Podpora v Kč) v roku 2016</t>
  </si>
  <si>
    <t>Podpora (Kč)</t>
  </si>
  <si>
    <t>Národní spolufinancování (Kč)</t>
  </si>
  <si>
    <t xml:space="preserve"> Příspěvek Unie (Kč)</t>
  </si>
  <si>
    <r>
      <t xml:space="preserve">PLÁN FINANCOVÁNÍ </t>
    </r>
    <r>
      <rPr>
        <b/>
        <u/>
        <sz val="10"/>
        <color rgb="FFFFFFFF"/>
        <rFont val="Calibri"/>
        <family val="2"/>
        <charset val="238"/>
      </rPr>
      <t xml:space="preserve">(způsobilé </t>
    </r>
    <r>
      <rPr>
        <b/>
        <sz val="10"/>
        <color rgb="FFFFFFFF"/>
        <rFont val="Calibri"/>
        <family val="2"/>
        <charset val="238"/>
      </rPr>
      <t>výdaje v Kč)</t>
    </r>
  </si>
  <si>
    <t>Nezpůsobilé výdaje (v Kč)</t>
  </si>
  <si>
    <t>h ) Financování podle programů a ESI fondů (Podpora v Kč) v roku 2017</t>
  </si>
  <si>
    <t>h ) Financování podle programů a ESI fondů (Podpora v Kč) v roku 2018</t>
  </si>
  <si>
    <t>h ) Financování podle programů a ESI fondů (Podpora v Kč) v roku 2019</t>
  </si>
  <si>
    <t>h ) Financování podle programů a ESI fondů (Podpora v Kč) v roku 2020</t>
  </si>
  <si>
    <t>h ) Financování podle programů a ESI fondů (Podpora v Kč) v roku 2021</t>
  </si>
  <si>
    <t>h ) Financování podle programů a ESI fondů (Podpora v Kč) v roku 2022</t>
  </si>
  <si>
    <t>h ) Financování podle programů a ESI fondů (Podpora v Kč) v roku 2023</t>
  </si>
  <si>
    <t>Fiche 1:Investice do zemědělských podniků</t>
  </si>
  <si>
    <t>Fiche 2:Zpracování a uvádění na trh zemědělských produktů</t>
  </si>
  <si>
    <t>Fiche 3:Podpora investic na založení nebo rozvoj nezemědělských činností</t>
  </si>
  <si>
    <t>Fiche 4:Spolupráce MAS v rámci iniciativy LEADER</t>
  </si>
  <si>
    <t>Fiche 5: Základní služby a obnova vesnic ve venkovských oblastech</t>
  </si>
  <si>
    <t>O 1.4.1</t>
  </si>
  <si>
    <t>O 2.1.1</t>
  </si>
  <si>
    <t>O 2.1.2</t>
  </si>
  <si>
    <t>O 2.1.3</t>
  </si>
  <si>
    <t>O 1.3.1</t>
  </si>
  <si>
    <t>Opatření SCLLD</t>
  </si>
  <si>
    <t>Soukromé zdroje PRV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</si>
</sst>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d/mmm"/>
    <numFmt numFmtId="166" formatCode="#,##0.00_ ;\-#,##0.00\ "/>
  </numFmts>
  <fonts count="12" x14ac:knownFonts="1">
    <font>
      <sz val="11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b/>
      <sz val="10.5"/>
      <color rgb="FF000000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.5"/>
      <name val="Calibri"/>
      <family val="2"/>
      <charset val="238"/>
    </font>
    <font>
      <sz val="10.5"/>
      <color rgb="FFFFFFFF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u/>
      <sz val="10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984806"/>
        <bgColor rgb="FF984807"/>
      </patternFill>
    </fill>
    <fill>
      <patternFill patternType="solid">
        <fgColor rgb="FFFBD4B4"/>
        <bgColor rgb="FFFCD5B5"/>
      </patternFill>
    </fill>
    <fill>
      <patternFill patternType="solid">
        <fgColor rgb="FFFABF8F"/>
        <bgColor rgb="FFFAC090"/>
      </patternFill>
    </fill>
    <fill>
      <patternFill patternType="solid">
        <fgColor rgb="FFFDE9D9"/>
        <bgColor rgb="FFFDEADA"/>
      </patternFill>
    </fill>
    <fill>
      <patternFill patternType="solid">
        <fgColor rgb="FFFCD5B5"/>
        <bgColor rgb="FFFBD4B4"/>
      </patternFill>
    </fill>
    <fill>
      <patternFill patternType="solid">
        <fgColor rgb="FFFAC090"/>
        <bgColor rgb="FFFABF8F"/>
      </patternFill>
    </fill>
    <fill>
      <patternFill patternType="solid">
        <fgColor rgb="FF984807"/>
        <bgColor rgb="FF984806"/>
      </patternFill>
    </fill>
    <fill>
      <patternFill patternType="solid">
        <fgColor rgb="FFFDEADA"/>
        <bgColor rgb="FFFDE9D9"/>
      </patternFill>
    </fill>
    <fill>
      <patternFill patternType="solid">
        <fgColor theme="5" tint="0.79998168889431442"/>
        <bgColor rgb="FFFFF200"/>
      </patternFill>
    </fill>
    <fill>
      <patternFill patternType="solid">
        <fgColor theme="5" tint="0.79998168889431442"/>
        <bgColor rgb="FFFDE9D9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5" tint="0.79998168889431442"/>
        <bgColor rgb="FFE46C0A"/>
      </patternFill>
    </fill>
    <fill>
      <patternFill patternType="solid">
        <fgColor theme="5" tint="0.59999389629810485"/>
        <bgColor rgb="FFFFF200"/>
      </patternFill>
    </fill>
    <fill>
      <patternFill patternType="solid">
        <fgColor theme="5" tint="0.79998168889431442"/>
        <bgColor rgb="FFFBD4B4"/>
      </patternFill>
    </fill>
    <fill>
      <patternFill patternType="solid">
        <fgColor theme="5" tint="0.79998168889431442"/>
        <bgColor rgb="FFFABF8F"/>
      </patternFill>
    </fill>
    <fill>
      <patternFill patternType="solid">
        <fgColor theme="5" tint="0.59999389629810485"/>
        <bgColor rgb="FFFCD5B5"/>
      </patternFill>
    </fill>
    <fill>
      <patternFill patternType="solid">
        <fgColor theme="5" tint="0.59999389629810485"/>
        <bgColor rgb="FFFBD4B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rgb="FFFABF8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75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8" fillId="7" borderId="1" xfId="0" applyNumberFormat="1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4" fontId="1" fillId="9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horizontal="center" vertical="center" wrapText="1"/>
    </xf>
    <xf numFmtId="4" fontId="1" fillId="11" borderId="1" xfId="0" applyNumberFormat="1" applyFont="1" applyFill="1" applyBorder="1" applyAlignment="1">
      <alignment horizontal="center" vertical="center" wrapText="1"/>
    </xf>
    <xf numFmtId="4" fontId="1" fillId="11" borderId="1" xfId="0" applyNumberFormat="1" applyFont="1" applyFill="1" applyBorder="1" applyAlignment="1">
      <alignment horizontal="right" vertical="center" wrapText="1"/>
    </xf>
    <xf numFmtId="4" fontId="6" fillId="12" borderId="1" xfId="0" applyNumberFormat="1" applyFont="1" applyFill="1" applyBorder="1" applyAlignment="1">
      <alignment horizontal="center" vertical="center" wrapText="1"/>
    </xf>
    <xf numFmtId="4" fontId="6" fillId="12" borderId="1" xfId="0" applyNumberFormat="1" applyFont="1" applyFill="1" applyBorder="1" applyAlignment="1">
      <alignment horizontal="right" vertical="center" wrapText="1"/>
    </xf>
    <xf numFmtId="4" fontId="1" fillId="13" borderId="1" xfId="0" applyNumberFormat="1" applyFont="1" applyFill="1" applyBorder="1" applyAlignment="1">
      <alignment horizontal="right" vertical="center" wrapText="1"/>
    </xf>
    <xf numFmtId="4" fontId="1" fillId="12" borderId="1" xfId="0" applyNumberFormat="1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right" vertical="center" wrapText="1"/>
    </xf>
    <xf numFmtId="0" fontId="1" fillId="10" borderId="1" xfId="0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6" fillId="12" borderId="1" xfId="0" applyNumberFormat="1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 wrapText="1"/>
    </xf>
    <xf numFmtId="4" fontId="1" fillId="12" borderId="1" xfId="0" applyNumberFormat="1" applyFont="1" applyFill="1" applyBorder="1" applyAlignment="1">
      <alignment horizontal="right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164" fontId="1" fillId="10" borderId="1" xfId="1" applyFont="1" applyFill="1" applyBorder="1" applyAlignment="1">
      <alignment horizontal="center" vertical="center" wrapText="1"/>
    </xf>
    <xf numFmtId="164" fontId="1" fillId="10" borderId="1" xfId="1" applyFont="1" applyFill="1" applyBorder="1" applyAlignment="1">
      <alignment horizontal="right" vertical="center" wrapText="1"/>
    </xf>
    <xf numFmtId="164" fontId="1" fillId="11" borderId="1" xfId="1" applyFont="1" applyFill="1" applyBorder="1" applyAlignment="1">
      <alignment horizontal="right" vertical="center" wrapText="1"/>
    </xf>
    <xf numFmtId="164" fontId="6" fillId="12" borderId="1" xfId="1" applyFont="1" applyFill="1" applyBorder="1" applyAlignment="1">
      <alignment horizontal="center" vertical="center" wrapText="1"/>
    </xf>
    <xf numFmtId="164" fontId="6" fillId="12" borderId="1" xfId="1" applyFont="1" applyFill="1" applyBorder="1" applyAlignment="1">
      <alignment horizontal="right" vertical="center" wrapText="1"/>
    </xf>
    <xf numFmtId="166" fontId="1" fillId="10" borderId="1" xfId="1" applyNumberFormat="1" applyFont="1" applyFill="1" applyBorder="1" applyAlignment="1">
      <alignment horizontal="right" vertical="center" wrapText="1"/>
    </xf>
    <xf numFmtId="4" fontId="1" fillId="16" borderId="1" xfId="0" applyNumberFormat="1" applyFont="1" applyFill="1" applyBorder="1" applyAlignment="1">
      <alignment horizontal="center" vertical="center" wrapText="1"/>
    </xf>
    <xf numFmtId="4" fontId="1" fillId="17" borderId="1" xfId="0" applyNumberFormat="1" applyFont="1" applyFill="1" applyBorder="1" applyAlignment="1">
      <alignment horizontal="center" vertical="center" wrapText="1"/>
    </xf>
    <xf numFmtId="4" fontId="2" fillId="10" borderId="1" xfId="0" applyNumberFormat="1" applyFont="1" applyFill="1" applyBorder="1" applyAlignment="1">
      <alignment horizontal="center" vertical="center" wrapText="1"/>
    </xf>
    <xf numFmtId="4" fontId="2" fillId="17" borderId="1" xfId="0" applyNumberFormat="1" applyFont="1" applyFill="1" applyBorder="1" applyAlignment="1">
      <alignment horizontal="center" vertical="center" wrapText="1"/>
    </xf>
    <xf numFmtId="4" fontId="2" fillId="1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1" fillId="11" borderId="1" xfId="0" applyNumberFormat="1" applyFont="1" applyFill="1" applyBorder="1" applyAlignment="1">
      <alignment vertical="center" wrapText="1"/>
    </xf>
    <xf numFmtId="4" fontId="5" fillId="12" borderId="1" xfId="0" applyNumberFormat="1" applyFont="1" applyFill="1" applyBorder="1" applyAlignment="1">
      <alignment horizontal="right" vertical="center" wrapText="1"/>
    </xf>
    <xf numFmtId="4" fontId="1" fillId="14" borderId="1" xfId="0" applyNumberFormat="1" applyFont="1" applyFill="1" applyBorder="1" applyAlignment="1">
      <alignment horizontal="right" vertical="center" wrapText="1"/>
    </xf>
    <xf numFmtId="4" fontId="5" fillId="11" borderId="1" xfId="0" applyNumberFormat="1" applyFont="1" applyFill="1" applyBorder="1" applyAlignment="1">
      <alignment horizontal="right" vertical="center"/>
    </xf>
    <xf numFmtId="4" fontId="5" fillId="12" borderId="1" xfId="0" applyNumberFormat="1" applyFont="1" applyFill="1" applyBorder="1" applyAlignment="1">
      <alignment horizontal="right" vertical="center"/>
    </xf>
    <xf numFmtId="4" fontId="5" fillId="11" borderId="1" xfId="0" applyNumberFormat="1" applyFont="1" applyFill="1" applyBorder="1" applyAlignment="1">
      <alignment horizontal="right" vertical="center" wrapText="1"/>
    </xf>
    <xf numFmtId="4" fontId="5" fillId="10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0" borderId="0" xfId="1" applyFont="1" applyAlignment="1">
      <alignment vertical="center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0" xfId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5" fillId="12" borderId="1" xfId="0" applyFont="1" applyFill="1" applyBorder="1" applyAlignment="1">
      <alignment horizontal="center" vertical="center"/>
    </xf>
    <xf numFmtId="49" fontId="5" fillId="12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49" fontId="5" fillId="12" borderId="1" xfId="0" applyNumberFormat="1" applyFont="1" applyFill="1" applyBorder="1" applyAlignment="1">
      <alignment horizontal="center" vertical="center" wrapText="1"/>
    </xf>
    <xf numFmtId="49" fontId="5" fillId="11" borderId="1" xfId="0" applyNumberFormat="1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5" fillId="18" borderId="3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  <xf numFmtId="0" fontId="5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 wrapText="1"/>
    </xf>
    <xf numFmtId="49" fontId="1" fillId="18" borderId="3" xfId="0" applyNumberFormat="1" applyFont="1" applyFill="1" applyBorder="1" applyAlignment="1">
      <alignment horizontal="center" vertical="center" wrapText="1"/>
    </xf>
    <xf numFmtId="2" fontId="1" fillId="20" borderId="1" xfId="0" applyNumberFormat="1" applyFont="1" applyFill="1" applyBorder="1" applyAlignment="1">
      <alignment horizontal="center" vertical="center"/>
    </xf>
    <xf numFmtId="4" fontId="8" fillId="21" borderId="1" xfId="0" applyNumberFormat="1" applyFont="1" applyFill="1" applyBorder="1" applyAlignment="1">
      <alignment horizontal="center" vertical="center" wrapText="1"/>
    </xf>
    <xf numFmtId="4" fontId="8" fillId="21" borderId="1" xfId="0" applyNumberFormat="1" applyFont="1" applyFill="1" applyBorder="1" applyAlignment="1">
      <alignment horizontal="center" vertical="top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49" fontId="5" fillId="11" borderId="1" xfId="0" applyNumberFormat="1" applyFont="1" applyFill="1" applyBorder="1" applyAlignment="1">
      <alignment horizontal="center" vertical="center"/>
    </xf>
    <xf numFmtId="4" fontId="1" fillId="20" borderId="0" xfId="0" applyNumberFormat="1" applyFont="1" applyFill="1" applyAlignment="1">
      <alignment horizontal="right" vertical="center"/>
    </xf>
    <xf numFmtId="4" fontId="5" fillId="11" borderId="1" xfId="0" applyNumberFormat="1" applyFont="1" applyFill="1" applyBorder="1" applyAlignment="1">
      <alignment vertical="center" wrapText="1"/>
    </xf>
    <xf numFmtId="4" fontId="5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19" borderId="7" xfId="0" applyFont="1" applyFill="1" applyBorder="1" applyAlignment="1">
      <alignment horizontal="center"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8" fillId="21" borderId="1" xfId="0" applyNumberFormat="1" applyFont="1" applyFill="1" applyBorder="1" applyAlignment="1">
      <alignment vertical="center" wrapText="1"/>
    </xf>
    <xf numFmtId="4" fontId="8" fillId="21" borderId="1" xfId="0" applyNumberFormat="1" applyFont="1" applyFill="1" applyBorder="1" applyAlignment="1">
      <alignment horizontal="center" vertical="center" wrapText="1"/>
    </xf>
    <xf numFmtId="4" fontId="8" fillId="21" borderId="9" xfId="0" applyNumberFormat="1" applyFont="1" applyFill="1" applyBorder="1" applyAlignment="1">
      <alignment horizontal="center" vertical="center" wrapText="1"/>
    </xf>
    <xf numFmtId="4" fontId="8" fillId="21" borderId="0" xfId="0" applyNumberFormat="1" applyFont="1" applyFill="1" applyBorder="1" applyAlignment="1">
      <alignment horizontal="center" vertical="center" wrapText="1"/>
    </xf>
    <xf numFmtId="4" fontId="8" fillId="21" borderId="10" xfId="0" applyNumberFormat="1" applyFont="1" applyFill="1" applyBorder="1" applyAlignment="1">
      <alignment horizontal="center" vertical="center" wrapText="1"/>
    </xf>
    <xf numFmtId="4" fontId="8" fillId="21" borderId="11" xfId="0" applyNumberFormat="1" applyFont="1" applyFill="1" applyBorder="1" applyAlignment="1">
      <alignment horizontal="center" vertical="center" wrapText="1"/>
    </xf>
    <xf numFmtId="4" fontId="8" fillId="21" borderId="4" xfId="0" applyNumberFormat="1" applyFont="1" applyFill="1" applyBorder="1" applyAlignment="1">
      <alignment horizontal="center" vertical="center" wrapText="1"/>
    </xf>
    <xf numFmtId="4" fontId="8" fillId="21" borderId="12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7" fillId="8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4" fontId="8" fillId="7" borderId="1" xfId="0" applyNumberFormat="1" applyFont="1" applyFill="1" applyBorder="1" applyAlignment="1">
      <alignment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4" fontId="8" fillId="7" borderId="9" xfId="0" applyNumberFormat="1" applyFont="1" applyFill="1" applyBorder="1" applyAlignment="1">
      <alignment horizontal="center" vertical="center" wrapText="1"/>
    </xf>
    <xf numFmtId="4" fontId="8" fillId="7" borderId="0" xfId="0" applyNumberFormat="1" applyFont="1" applyFill="1" applyBorder="1" applyAlignment="1">
      <alignment horizontal="center" vertical="center" wrapText="1"/>
    </xf>
    <xf numFmtId="4" fontId="8" fillId="7" borderId="10" xfId="0" applyNumberFormat="1" applyFont="1" applyFill="1" applyBorder="1" applyAlignment="1">
      <alignment horizontal="center" vertical="center" wrapText="1"/>
    </xf>
    <xf numFmtId="4" fontId="8" fillId="7" borderId="11" xfId="0" applyNumberFormat="1" applyFont="1" applyFill="1" applyBorder="1" applyAlignment="1">
      <alignment horizontal="center" vertical="center" wrapText="1"/>
    </xf>
    <xf numFmtId="4" fontId="8" fillId="7" borderId="4" xfId="0" applyNumberFormat="1" applyFont="1" applyFill="1" applyBorder="1" applyAlignment="1">
      <alignment horizontal="center" vertical="center" wrapText="1"/>
    </xf>
    <xf numFmtId="4" fontId="8" fillId="7" borderId="1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18" borderId="6" xfId="0" applyFont="1" applyFill="1" applyBorder="1" applyAlignment="1">
      <alignment horizontal="center" vertical="center" wrapText="1"/>
    </xf>
    <xf numFmtId="0" fontId="2" fillId="18" borderId="7" xfId="0" applyFont="1" applyFill="1" applyBorder="1" applyAlignment="1">
      <alignment horizontal="center" vertical="center" wrapText="1"/>
    </xf>
    <xf numFmtId="0" fontId="2" fillId="18" borderId="8" xfId="0" applyFont="1" applyFill="1" applyBorder="1" applyAlignment="1">
      <alignment horizontal="center" vertical="center" wrapText="1"/>
    </xf>
    <xf numFmtId="164" fontId="9" fillId="11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7030A0"/>
      <rgbColor rgb="FFFDEADA"/>
      <rgbColor rgb="FFCCFFFF"/>
      <rgbColor rgb="FF660066"/>
      <rgbColor rgb="FFFF8080"/>
      <rgbColor rgb="FF0066CC"/>
      <rgbColor rgb="FFFBD4B4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B0F0"/>
      <rgbColor rgb="FFCCFFFF"/>
      <rgbColor rgb="FFFCD5B5"/>
      <rgbColor rgb="FFFDE9D9"/>
      <rgbColor rgb="FF99CCFF"/>
      <rgbColor rgb="FFFABF8F"/>
      <rgbColor rgb="FFB3A2C7"/>
      <rgbColor rgb="FFFAC090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84806"/>
      <rgbColor rgb="FF984807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E41"/>
  <sheetViews>
    <sheetView tabSelected="1" zoomScaleNormal="100" workbookViewId="0">
      <selection activeCell="R7" sqref="R7"/>
    </sheetView>
  </sheetViews>
  <sheetFormatPr defaultRowHeight="15" x14ac:dyDescent="0.25"/>
  <cols>
    <col min="1" max="1" width="20.140625" style="8" customWidth="1"/>
    <col min="2" max="2" width="12.7109375" style="8" customWidth="1"/>
    <col min="3" max="3" width="13.5703125" style="8" customWidth="1"/>
    <col min="4" max="4" width="12.140625" style="8" customWidth="1"/>
    <col min="5" max="5" width="15" style="8" customWidth="1"/>
    <col min="6" max="6" width="12.140625" style="8" customWidth="1"/>
    <col min="7" max="7" width="14.140625" style="8" customWidth="1"/>
    <col min="8" max="8" width="12.42578125" style="8" bestFit="1" customWidth="1"/>
    <col min="9" max="9" width="15" style="8" bestFit="1" customWidth="1"/>
    <col min="10" max="10" width="15.140625" style="8" customWidth="1"/>
    <col min="11" max="11" width="13.5703125" style="8" customWidth="1"/>
    <col min="12" max="12" width="12.7109375" style="8" customWidth="1"/>
    <col min="13" max="15" width="17" style="8" customWidth="1"/>
    <col min="16" max="17" width="3.42578125" style="8" customWidth="1"/>
    <col min="18" max="19" width="17" style="8" customWidth="1"/>
    <col min="20" max="1019" width="9.140625" style="8" customWidth="1"/>
  </cols>
  <sheetData>
    <row r="1" spans="1:19" x14ac:dyDescent="0.25">
      <c r="A1" s="124" t="s">
        <v>34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9" ht="14.25" customHeight="1" x14ac:dyDescent="0.25">
      <c r="A2" s="112" t="s">
        <v>0</v>
      </c>
      <c r="B2" s="112" t="s">
        <v>108</v>
      </c>
      <c r="C2" s="112" t="s">
        <v>1</v>
      </c>
      <c r="D2" s="112" t="s">
        <v>2</v>
      </c>
      <c r="E2" s="112"/>
      <c r="F2" s="112"/>
      <c r="G2" s="112"/>
      <c r="H2" s="113" t="s">
        <v>81</v>
      </c>
      <c r="I2" s="114"/>
      <c r="J2" s="114"/>
      <c r="K2" s="114"/>
      <c r="L2" s="114"/>
      <c r="M2" s="115"/>
      <c r="N2" s="112" t="s">
        <v>82</v>
      </c>
    </row>
    <row r="3" spans="1:19" ht="14.25" customHeight="1" x14ac:dyDescent="0.25">
      <c r="A3" s="112"/>
      <c r="B3" s="112"/>
      <c r="C3" s="112"/>
      <c r="D3" s="112"/>
      <c r="E3" s="112"/>
      <c r="F3" s="112"/>
      <c r="G3" s="112"/>
      <c r="H3" s="116"/>
      <c r="I3" s="117"/>
      <c r="J3" s="117"/>
      <c r="K3" s="117"/>
      <c r="L3" s="117"/>
      <c r="M3" s="118"/>
      <c r="N3" s="112"/>
    </row>
    <row r="4" spans="1:19" ht="27.75" customHeight="1" x14ac:dyDescent="0.25">
      <c r="A4" s="112"/>
      <c r="B4" s="112"/>
      <c r="C4" s="112"/>
      <c r="D4" s="119" t="s">
        <v>3</v>
      </c>
      <c r="E4" s="119" t="s">
        <v>4</v>
      </c>
      <c r="F4" s="119" t="s">
        <v>5</v>
      </c>
      <c r="G4" s="119" t="s">
        <v>6</v>
      </c>
      <c r="H4" s="120" t="s">
        <v>7</v>
      </c>
      <c r="I4" s="120" t="s">
        <v>8</v>
      </c>
      <c r="J4" s="120"/>
      <c r="K4" s="121" t="s">
        <v>9</v>
      </c>
      <c r="L4" s="122"/>
      <c r="M4" s="123"/>
      <c r="N4" s="112"/>
    </row>
    <row r="5" spans="1:19" ht="71.25" customHeight="1" x14ac:dyDescent="0.25">
      <c r="A5" s="112"/>
      <c r="B5" s="112"/>
      <c r="C5" s="112"/>
      <c r="D5" s="119"/>
      <c r="E5" s="119"/>
      <c r="F5" s="119"/>
      <c r="G5" s="119"/>
      <c r="H5" s="120"/>
      <c r="I5" s="91" t="s">
        <v>35</v>
      </c>
      <c r="J5" s="91" t="s">
        <v>36</v>
      </c>
      <c r="K5" s="91" t="s">
        <v>37</v>
      </c>
      <c r="L5" s="91" t="s">
        <v>38</v>
      </c>
      <c r="M5" s="91" t="s">
        <v>109</v>
      </c>
      <c r="N5" s="112"/>
      <c r="Q5" s="6"/>
    </row>
    <row r="6" spans="1:19" s="14" customFormat="1" ht="14.25" x14ac:dyDescent="0.25">
      <c r="A6" s="13" t="s">
        <v>15</v>
      </c>
      <c r="B6" s="92" t="s">
        <v>16</v>
      </c>
      <c r="C6" s="92"/>
      <c r="D6" s="84" t="s">
        <v>10</v>
      </c>
      <c r="E6" s="84">
        <v>4</v>
      </c>
      <c r="F6" s="85" t="s">
        <v>40</v>
      </c>
      <c r="G6" s="85" t="s">
        <v>41</v>
      </c>
      <c r="H6" s="71">
        <v>31372142.25</v>
      </c>
      <c r="I6" s="71">
        <v>29803535.109999999</v>
      </c>
      <c r="J6" s="71">
        <v>0</v>
      </c>
      <c r="K6" s="71">
        <v>1568607.14</v>
      </c>
      <c r="L6" s="71">
        <v>0</v>
      </c>
      <c r="M6" s="71">
        <v>0</v>
      </c>
      <c r="N6" s="72">
        <v>0</v>
      </c>
      <c r="P6" s="165"/>
      <c r="Q6" s="166"/>
      <c r="R6" s="167"/>
    </row>
    <row r="7" spans="1:19" s="14" customFormat="1" ht="14.25" customHeight="1" x14ac:dyDescent="0.25">
      <c r="A7" s="15" t="s">
        <v>17</v>
      </c>
      <c r="B7" s="93" t="s">
        <v>18</v>
      </c>
      <c r="C7" s="93"/>
      <c r="D7" s="86" t="s">
        <v>10</v>
      </c>
      <c r="E7" s="86">
        <v>4</v>
      </c>
      <c r="F7" s="87" t="s">
        <v>40</v>
      </c>
      <c r="G7" s="87" t="s">
        <v>41</v>
      </c>
      <c r="H7" s="73">
        <v>16297070.41</v>
      </c>
      <c r="I7" s="73">
        <v>15482216.890000001</v>
      </c>
      <c r="J7" s="73">
        <v>0</v>
      </c>
      <c r="K7" s="73">
        <v>814853.52</v>
      </c>
      <c r="L7" s="73">
        <v>0</v>
      </c>
      <c r="M7" s="73">
        <v>0</v>
      </c>
      <c r="N7" s="69">
        <v>0</v>
      </c>
      <c r="P7" s="168"/>
      <c r="Q7" s="166"/>
      <c r="R7" s="169"/>
    </row>
    <row r="8" spans="1:19" s="14" customFormat="1" ht="14.25" customHeight="1" x14ac:dyDescent="0.25">
      <c r="A8" s="15" t="s">
        <v>42</v>
      </c>
      <c r="B8" s="93" t="s">
        <v>43</v>
      </c>
      <c r="C8" s="93"/>
      <c r="D8" s="86" t="s">
        <v>10</v>
      </c>
      <c r="E8" s="86">
        <v>4</v>
      </c>
      <c r="F8" s="87" t="s">
        <v>40</v>
      </c>
      <c r="G8" s="87" t="s">
        <v>41</v>
      </c>
      <c r="H8" s="73">
        <v>1309200</v>
      </c>
      <c r="I8" s="73">
        <v>1243740</v>
      </c>
      <c r="J8" s="73">
        <v>0</v>
      </c>
      <c r="K8" s="73">
        <v>0</v>
      </c>
      <c r="L8" s="73">
        <v>65460</v>
      </c>
      <c r="M8" s="73">
        <v>0</v>
      </c>
      <c r="N8" s="69">
        <v>0</v>
      </c>
      <c r="P8" s="168"/>
      <c r="Q8" s="166"/>
      <c r="R8" s="169"/>
    </row>
    <row r="9" spans="1:19" s="14" customFormat="1" ht="14.25" x14ac:dyDescent="0.25">
      <c r="A9" s="15" t="s">
        <v>44</v>
      </c>
      <c r="B9" s="94" t="s">
        <v>103</v>
      </c>
      <c r="C9" s="93"/>
      <c r="D9" s="86" t="s">
        <v>12</v>
      </c>
      <c r="E9" s="50" t="s">
        <v>45</v>
      </c>
      <c r="F9" s="87" t="s">
        <v>46</v>
      </c>
      <c r="G9" s="87" t="s">
        <v>47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69">
        <v>0</v>
      </c>
      <c r="O9" s="14" t="s">
        <v>101</v>
      </c>
      <c r="P9" s="168"/>
      <c r="Q9" s="166"/>
      <c r="R9" s="169"/>
    </row>
    <row r="10" spans="1:19" s="14" customFormat="1" ht="14.25" customHeight="1" x14ac:dyDescent="0.25">
      <c r="A10" s="125" t="s">
        <v>19</v>
      </c>
      <c r="B10" s="94" t="s">
        <v>104</v>
      </c>
      <c r="C10" s="93"/>
      <c r="D10" s="86" t="s">
        <v>12</v>
      </c>
      <c r="E10" s="50" t="s">
        <v>45</v>
      </c>
      <c r="F10" s="87" t="s">
        <v>46</v>
      </c>
      <c r="G10" s="87" t="s">
        <v>48</v>
      </c>
      <c r="H10" s="73">
        <f>'2018'!H10+'2019'!H10+'2020'!H10+'2021'!H10+'2022'!H10+'2023'!H10</f>
        <v>23426822</v>
      </c>
      <c r="I10" s="73">
        <f>'2018'!I10+'2019'!I10+'2020'!I10+'2021'!I10+'2022'!I10+'2023'!I10</f>
        <v>7865297</v>
      </c>
      <c r="J10" s="73">
        <f>'2018'!J10+'2019'!J10+'2020'!J10+'2021'!J10+'2022'!J10+'2023'!J10</f>
        <v>4424233</v>
      </c>
      <c r="K10" s="73">
        <v>0</v>
      </c>
      <c r="L10" s="73">
        <v>0</v>
      </c>
      <c r="M10" s="73">
        <f>'2018'!M10+'2019'!M10+'2020'!M10+'2021'!M10+'2022'!M10+'2023'!M10</f>
        <v>11137292</v>
      </c>
      <c r="N10" s="69">
        <v>5376694</v>
      </c>
      <c r="O10" s="14" t="s">
        <v>98</v>
      </c>
      <c r="P10" s="168"/>
      <c r="Q10" s="166"/>
      <c r="R10" s="169"/>
    </row>
    <row r="11" spans="1:19" s="14" customFormat="1" ht="14.25" customHeight="1" x14ac:dyDescent="0.25">
      <c r="A11" s="125"/>
      <c r="B11" s="94" t="s">
        <v>107</v>
      </c>
      <c r="C11" s="95"/>
      <c r="D11" s="86" t="s">
        <v>12</v>
      </c>
      <c r="E11" s="50" t="s">
        <v>45</v>
      </c>
      <c r="F11" s="87" t="s">
        <v>46</v>
      </c>
      <c r="G11" s="87" t="s">
        <v>48</v>
      </c>
      <c r="H11" s="73">
        <f>'2018'!H11+'2019'!H11+'2020'!H11+'2021'!H11+'2022'!H11+'2023'!H11</f>
        <v>4395250</v>
      </c>
      <c r="I11" s="73">
        <f>'2018'!I11+'2019'!I11+'2020'!I11+'2021'!I11+'2022'!I11+'2023'!I11</f>
        <v>2250368</v>
      </c>
      <c r="J11" s="73">
        <f>'2018'!J11+'2019'!J11+'2020'!J11+'2021'!J11+'2022'!J11+'2023'!J11</f>
        <v>1265832</v>
      </c>
      <c r="K11" s="73">
        <v>0</v>
      </c>
      <c r="L11" s="73">
        <v>0</v>
      </c>
      <c r="M11" s="73">
        <f>'2018'!M11+'2019'!M11+'2020'!M11+'2021'!M11+'2022'!M11+'2023'!M11</f>
        <v>879050</v>
      </c>
      <c r="N11" s="73">
        <v>0</v>
      </c>
      <c r="O11" s="16" t="s">
        <v>102</v>
      </c>
      <c r="P11" s="168"/>
      <c r="Q11" s="166"/>
      <c r="R11" s="167"/>
      <c r="S11" s="16"/>
    </row>
    <row r="12" spans="1:19" s="14" customFormat="1" ht="14.25" x14ac:dyDescent="0.25">
      <c r="A12" s="125"/>
      <c r="B12" s="96" t="s">
        <v>105</v>
      </c>
      <c r="C12" s="95"/>
      <c r="D12" s="86" t="s">
        <v>12</v>
      </c>
      <c r="E12" s="50" t="s">
        <v>45</v>
      </c>
      <c r="F12" s="87" t="s">
        <v>46</v>
      </c>
      <c r="G12" s="87" t="s">
        <v>48</v>
      </c>
      <c r="H12" s="73">
        <v>250000</v>
      </c>
      <c r="I12" s="73">
        <v>80000</v>
      </c>
      <c r="J12" s="73">
        <v>45000</v>
      </c>
      <c r="K12" s="73">
        <v>0</v>
      </c>
      <c r="L12" s="73">
        <v>0</v>
      </c>
      <c r="M12" s="73">
        <v>125000</v>
      </c>
      <c r="N12" s="69">
        <v>52500</v>
      </c>
      <c r="O12" s="14" t="s">
        <v>99</v>
      </c>
      <c r="P12" s="168"/>
      <c r="Q12" s="166"/>
      <c r="R12" s="167"/>
    </row>
    <row r="13" spans="1:19" s="14" customFormat="1" ht="14.25" x14ac:dyDescent="0.25">
      <c r="A13" s="125"/>
      <c r="B13" s="96" t="s">
        <v>106</v>
      </c>
      <c r="C13" s="95"/>
      <c r="D13" s="86" t="s">
        <v>12</v>
      </c>
      <c r="E13" s="50" t="s">
        <v>45</v>
      </c>
      <c r="F13" s="87" t="s">
        <v>46</v>
      </c>
      <c r="G13" s="88" t="s">
        <v>48</v>
      </c>
      <c r="H13" s="73">
        <f>'2018'!H13+'2019'!H13+'2020'!H13+'2021'!H13+'2022'!H13+'2023'!H13</f>
        <v>13293074</v>
      </c>
      <c r="I13" s="73">
        <f>'2018'!I13+'2019'!I13+'2020'!I13+'2021'!I13+'2022'!I13+'2023'!I13</f>
        <v>3828399</v>
      </c>
      <c r="J13" s="73">
        <f>'2018'!J13+'2019'!J13+'2020'!J13+'2021'!J13+'2022'!J13+'2023'!J13</f>
        <v>2153481</v>
      </c>
      <c r="K13" s="73">
        <v>0</v>
      </c>
      <c r="L13" s="73">
        <v>0</v>
      </c>
      <c r="M13" s="73">
        <f>'2018'!M13+'2019'!M13+'2020'!M13+'2021'!M13+'2022'!M13+'2023'!M13</f>
        <v>7311194</v>
      </c>
      <c r="N13" s="69">
        <v>4034242</v>
      </c>
      <c r="O13" s="14" t="s">
        <v>100</v>
      </c>
      <c r="P13" s="168"/>
      <c r="Q13" s="166"/>
      <c r="R13" s="167"/>
      <c r="S13" s="16"/>
    </row>
    <row r="14" spans="1:19" s="14" customFormat="1" ht="14.25" customHeight="1" x14ac:dyDescent="0.25">
      <c r="A14" s="125" t="s">
        <v>21</v>
      </c>
      <c r="B14" s="95" t="s">
        <v>22</v>
      </c>
      <c r="C14" s="95"/>
      <c r="D14" s="86" t="s">
        <v>20</v>
      </c>
      <c r="E14" s="86">
        <v>2</v>
      </c>
      <c r="F14" s="87" t="s">
        <v>49</v>
      </c>
      <c r="G14" s="87" t="s">
        <v>50</v>
      </c>
      <c r="H14" s="74">
        <v>37408000</v>
      </c>
      <c r="I14" s="74">
        <v>31796800</v>
      </c>
      <c r="J14" s="74">
        <v>2880400</v>
      </c>
      <c r="K14" s="74">
        <v>915.2</v>
      </c>
      <c r="L14" s="74">
        <v>1815600</v>
      </c>
      <c r="M14" s="74">
        <v>0</v>
      </c>
      <c r="N14" s="69">
        <v>0</v>
      </c>
      <c r="O14" s="16"/>
      <c r="P14" s="168"/>
      <c r="Q14" s="166"/>
      <c r="R14" s="169"/>
    </row>
    <row r="15" spans="1:19" s="14" customFormat="1" ht="14.25" x14ac:dyDescent="0.25">
      <c r="A15" s="125"/>
      <c r="B15" s="97" t="s">
        <v>23</v>
      </c>
      <c r="C15" s="97"/>
      <c r="D15" s="84" t="s">
        <v>10</v>
      </c>
      <c r="E15" s="84">
        <v>4</v>
      </c>
      <c r="F15" s="85" t="s">
        <v>40</v>
      </c>
      <c r="G15" s="85" t="s">
        <v>41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2">
        <v>0</v>
      </c>
      <c r="P15" s="165"/>
      <c r="Q15" s="166"/>
      <c r="R15" s="169"/>
    </row>
    <row r="16" spans="1:19" s="14" customFormat="1" ht="14.25" x14ac:dyDescent="0.25">
      <c r="A16" s="125"/>
      <c r="B16" s="95" t="s">
        <v>51</v>
      </c>
      <c r="C16" s="95"/>
      <c r="D16" s="86" t="s">
        <v>20</v>
      </c>
      <c r="E16" s="86">
        <v>2</v>
      </c>
      <c r="F16" s="87" t="s">
        <v>49</v>
      </c>
      <c r="G16" s="87" t="s">
        <v>50</v>
      </c>
      <c r="H16" s="74">
        <v>10010000</v>
      </c>
      <c r="I16" s="74">
        <v>8508500</v>
      </c>
      <c r="J16" s="74">
        <v>1220960</v>
      </c>
      <c r="K16" s="73">
        <v>130.54</v>
      </c>
      <c r="L16" s="73">
        <v>150000</v>
      </c>
      <c r="M16" s="73">
        <v>0</v>
      </c>
      <c r="N16" s="69">
        <v>0</v>
      </c>
      <c r="P16" s="168"/>
      <c r="Q16" s="166"/>
      <c r="R16" s="169"/>
    </row>
    <row r="17" spans="1:19" s="18" customFormat="1" ht="14.25" hidden="1" x14ac:dyDescent="0.25">
      <c r="A17" s="125"/>
      <c r="B17" s="98" t="s">
        <v>52</v>
      </c>
      <c r="C17" s="98"/>
      <c r="D17" s="89" t="s">
        <v>20</v>
      </c>
      <c r="E17" s="89">
        <v>2</v>
      </c>
      <c r="F17" s="51" t="s">
        <v>49</v>
      </c>
      <c r="G17" s="51" t="s">
        <v>50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/>
      <c r="N17" s="44">
        <v>0</v>
      </c>
      <c r="P17" s="170"/>
      <c r="Q17" s="171"/>
      <c r="R17" s="172"/>
    </row>
    <row r="18" spans="1:19" x14ac:dyDescent="0.25">
      <c r="A18" s="20" t="s">
        <v>24</v>
      </c>
      <c r="B18" s="99" t="s">
        <v>25</v>
      </c>
      <c r="C18" s="96"/>
      <c r="D18" s="90" t="s">
        <v>53</v>
      </c>
      <c r="E18" s="90">
        <v>4</v>
      </c>
      <c r="F18" s="52"/>
      <c r="G18" s="52" t="s">
        <v>54</v>
      </c>
      <c r="H18" s="53">
        <v>5402350</v>
      </c>
      <c r="I18" s="53">
        <v>4592000</v>
      </c>
      <c r="J18" s="53">
        <v>0</v>
      </c>
      <c r="K18" s="53">
        <v>810.34705882353001</v>
      </c>
      <c r="L18" s="53">
        <v>0</v>
      </c>
      <c r="M18" s="53">
        <v>0</v>
      </c>
      <c r="N18" s="53">
        <v>0</v>
      </c>
      <c r="P18" s="173"/>
      <c r="Q18" s="174"/>
      <c r="R18" s="79"/>
    </row>
    <row r="19" spans="1:19" ht="14.25" customHeight="1" x14ac:dyDescent="0.25">
      <c r="A19" s="126" t="s">
        <v>14</v>
      </c>
      <c r="B19" s="126"/>
      <c r="C19" s="126"/>
      <c r="D19" s="126"/>
      <c r="E19" s="126"/>
      <c r="F19" s="3"/>
      <c r="G19" s="4"/>
      <c r="H19" s="4"/>
      <c r="I19" s="4"/>
      <c r="J19" s="4"/>
      <c r="K19" s="4"/>
      <c r="L19" s="4"/>
      <c r="M19" s="75"/>
      <c r="N19" s="4"/>
    </row>
    <row r="21" spans="1:19" x14ac:dyDescent="0.25">
      <c r="A21" s="127" t="s">
        <v>83</v>
      </c>
      <c r="B21" s="127"/>
      <c r="C21" s="127"/>
      <c r="D21" s="127"/>
      <c r="E21" s="127"/>
      <c r="F21" s="127"/>
      <c r="H21" s="23"/>
      <c r="I21" s="112" t="s">
        <v>2</v>
      </c>
      <c r="J21" s="112"/>
      <c r="K21" s="112"/>
      <c r="L21" s="112"/>
      <c r="M21" s="113" t="s">
        <v>81</v>
      </c>
      <c r="N21" s="114"/>
      <c r="O21" s="114"/>
      <c r="P21" s="114"/>
      <c r="Q21" s="114"/>
      <c r="R21" s="115"/>
      <c r="S21" s="112" t="s">
        <v>82</v>
      </c>
    </row>
    <row r="22" spans="1:19" ht="42.75" customHeight="1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  <c r="G22" s="24" t="s">
        <v>39</v>
      </c>
      <c r="H22" s="67"/>
      <c r="I22" s="112"/>
      <c r="J22" s="112"/>
      <c r="K22" s="112"/>
      <c r="L22" s="112"/>
      <c r="M22" s="116"/>
      <c r="N22" s="117"/>
      <c r="O22" s="117"/>
      <c r="P22" s="117"/>
      <c r="Q22" s="117"/>
      <c r="R22" s="118"/>
      <c r="S22" s="112"/>
    </row>
    <row r="23" spans="1:19" ht="14.25" customHeight="1" x14ac:dyDescent="0.25">
      <c r="A23" s="112" t="s">
        <v>27</v>
      </c>
      <c r="B23" s="9" t="s">
        <v>10</v>
      </c>
      <c r="C23" s="62">
        <f>SUM(I6:I8)</f>
        <v>46529492</v>
      </c>
      <c r="D23" s="62">
        <v>0</v>
      </c>
      <c r="E23" s="62">
        <f>C23+D23</f>
        <v>46529492</v>
      </c>
      <c r="G23" s="26">
        <f>SUM(I6,I7,I8,I15,J6,J7,J8,J15)</f>
        <v>46529492</v>
      </c>
      <c r="H23" s="67"/>
      <c r="I23" s="119" t="s">
        <v>3</v>
      </c>
      <c r="J23" s="119" t="s">
        <v>4</v>
      </c>
      <c r="K23" s="119" t="s">
        <v>5</v>
      </c>
      <c r="L23" s="119" t="s">
        <v>6</v>
      </c>
      <c r="M23" s="120" t="s">
        <v>7</v>
      </c>
      <c r="N23" s="120" t="s">
        <v>8</v>
      </c>
      <c r="O23" s="120"/>
      <c r="P23" s="121" t="s">
        <v>9</v>
      </c>
      <c r="Q23" s="122"/>
      <c r="R23" s="123"/>
      <c r="S23" s="112"/>
    </row>
    <row r="24" spans="1:19" ht="47.25" customHeight="1" x14ac:dyDescent="0.25">
      <c r="A24" s="112"/>
      <c r="B24" s="9" t="s">
        <v>13</v>
      </c>
      <c r="C24" s="62">
        <f>4592*1000</f>
        <v>4592000</v>
      </c>
      <c r="D24" s="62">
        <v>0</v>
      </c>
      <c r="E24" s="62">
        <f>C24+D24</f>
        <v>4592000</v>
      </c>
      <c r="G24" s="26">
        <f>SUM(I18,J18)</f>
        <v>4592000</v>
      </c>
      <c r="I24" s="119"/>
      <c r="J24" s="119"/>
      <c r="K24" s="119"/>
      <c r="L24" s="119"/>
      <c r="M24" s="120"/>
      <c r="N24" s="110" t="s">
        <v>35</v>
      </c>
      <c r="O24" s="110" t="s">
        <v>36</v>
      </c>
      <c r="P24" s="110" t="s">
        <v>37</v>
      </c>
      <c r="Q24" s="110" t="s">
        <v>38</v>
      </c>
      <c r="R24" s="110" t="s">
        <v>109</v>
      </c>
      <c r="S24" s="112"/>
    </row>
    <row r="25" spans="1:19" x14ac:dyDescent="0.25">
      <c r="A25" s="112"/>
      <c r="B25" s="4" t="s">
        <v>28</v>
      </c>
      <c r="C25" s="63">
        <f>SUM(C23+C24)</f>
        <v>51121492</v>
      </c>
      <c r="D25" s="63">
        <f t="shared" ref="D25:E25" si="0">SUM(D23+D24)</f>
        <v>0</v>
      </c>
      <c r="E25" s="63">
        <f t="shared" si="0"/>
        <v>51121492</v>
      </c>
      <c r="G25" s="18"/>
      <c r="H25" s="67"/>
      <c r="I25" s="67" t="s">
        <v>12</v>
      </c>
      <c r="J25" s="67" t="s">
        <v>45</v>
      </c>
      <c r="K25" s="67" t="s">
        <v>46</v>
      </c>
      <c r="L25" s="67" t="s">
        <v>48</v>
      </c>
      <c r="M25" s="78">
        <v>23426822</v>
      </c>
      <c r="N25" s="78">
        <v>7865297.6799999997</v>
      </c>
      <c r="O25" s="78">
        <v>4424232.32</v>
      </c>
      <c r="P25" s="78">
        <v>0</v>
      </c>
      <c r="Q25" s="78">
        <v>0</v>
      </c>
      <c r="R25" s="78">
        <v>11137292</v>
      </c>
      <c r="S25" s="78">
        <v>5376694</v>
      </c>
    </row>
    <row r="26" spans="1:19" ht="14.25" customHeight="1" x14ac:dyDescent="0.25">
      <c r="A26" s="112" t="s">
        <v>29</v>
      </c>
      <c r="B26" s="9" t="s">
        <v>11</v>
      </c>
      <c r="C26" s="39">
        <f>I14+I16</f>
        <v>40305300</v>
      </c>
      <c r="D26" s="39">
        <f>J14+J16</f>
        <v>4101360</v>
      </c>
      <c r="E26" s="39">
        <f>C26+D26</f>
        <v>44406660</v>
      </c>
      <c r="G26" s="26">
        <f>SUM(I14,I16,I17,J14,J16,J17)</f>
        <v>44406660</v>
      </c>
      <c r="I26" s="8" t="s">
        <v>12</v>
      </c>
      <c r="J26" s="8" t="s">
        <v>45</v>
      </c>
      <c r="K26" s="8" t="s">
        <v>46</v>
      </c>
      <c r="L26" s="8" t="s">
        <v>48</v>
      </c>
      <c r="M26" s="78">
        <v>4395250</v>
      </c>
      <c r="N26" s="78">
        <v>2250368</v>
      </c>
      <c r="O26" s="78">
        <v>1265832</v>
      </c>
      <c r="P26" s="78">
        <v>0</v>
      </c>
      <c r="Q26" s="78">
        <v>0</v>
      </c>
      <c r="R26" s="78">
        <v>879050</v>
      </c>
      <c r="S26" s="78">
        <v>0</v>
      </c>
    </row>
    <row r="27" spans="1:19" x14ac:dyDescent="0.25">
      <c r="A27" s="112"/>
      <c r="B27" s="4" t="s">
        <v>30</v>
      </c>
      <c r="C27" s="63">
        <f>C26</f>
        <v>40305300</v>
      </c>
      <c r="D27" s="63">
        <f>D26</f>
        <v>4101360</v>
      </c>
      <c r="E27" s="63">
        <f>E26</f>
        <v>44406660</v>
      </c>
      <c r="G27" s="18"/>
      <c r="I27" s="8" t="s">
        <v>12</v>
      </c>
      <c r="J27" s="8" t="s">
        <v>45</v>
      </c>
      <c r="K27" s="8" t="s">
        <v>46</v>
      </c>
      <c r="L27" s="8" t="s">
        <v>48</v>
      </c>
      <c r="M27" s="78">
        <v>250000</v>
      </c>
      <c r="N27" s="78">
        <v>80000</v>
      </c>
      <c r="O27" s="78">
        <v>45000</v>
      </c>
      <c r="P27" s="78">
        <v>0</v>
      </c>
      <c r="Q27" s="78">
        <v>0</v>
      </c>
      <c r="R27" s="78">
        <v>125000</v>
      </c>
      <c r="S27" s="78">
        <v>52500</v>
      </c>
    </row>
    <row r="28" spans="1:19" ht="14.25" customHeight="1" x14ac:dyDescent="0.25">
      <c r="A28" s="112" t="s">
        <v>31</v>
      </c>
      <c r="B28" s="11" t="s">
        <v>12</v>
      </c>
      <c r="C28" s="62">
        <f>SUM(I9:I13)</f>
        <v>14024064</v>
      </c>
      <c r="D28" s="62">
        <f>SUM(J9:J13)</f>
        <v>7888546</v>
      </c>
      <c r="E28" s="62">
        <f>C28+D28</f>
        <v>21912610</v>
      </c>
      <c r="G28" s="26">
        <f>SUM(I9,I10,I12,I13,J9,J10,J12,J13)</f>
        <v>18396410</v>
      </c>
      <c r="I28" s="8" t="s">
        <v>12</v>
      </c>
      <c r="J28" s="8" t="s">
        <v>45</v>
      </c>
      <c r="K28" s="8" t="s">
        <v>46</v>
      </c>
      <c r="L28" s="8" t="s">
        <v>48</v>
      </c>
      <c r="M28" s="78">
        <v>13293072.779999999</v>
      </c>
      <c r="N28" s="78">
        <v>3828399.16</v>
      </c>
      <c r="O28" s="78">
        <v>2153480.84</v>
      </c>
      <c r="P28" s="78">
        <v>0</v>
      </c>
      <c r="Q28" s="78">
        <v>0</v>
      </c>
      <c r="R28" s="78">
        <v>7311192.7800000003</v>
      </c>
      <c r="S28" s="78">
        <v>4034242</v>
      </c>
    </row>
    <row r="29" spans="1:19" x14ac:dyDescent="0.25">
      <c r="A29" s="112"/>
      <c r="B29" s="4" t="s">
        <v>32</v>
      </c>
      <c r="C29" s="63">
        <f>C28</f>
        <v>14024064</v>
      </c>
      <c r="D29" s="63">
        <f t="shared" ref="D29:E29" si="1">D28</f>
        <v>7888546</v>
      </c>
      <c r="E29" s="63">
        <f t="shared" si="1"/>
        <v>21912610</v>
      </c>
      <c r="G29" s="18"/>
    </row>
    <row r="30" spans="1:19" x14ac:dyDescent="0.25">
      <c r="A30" s="7" t="s">
        <v>33</v>
      </c>
      <c r="B30" s="4" t="s">
        <v>14</v>
      </c>
      <c r="C30" s="64">
        <f>C29+C27+C25</f>
        <v>105450856</v>
      </c>
      <c r="D30" s="64">
        <f t="shared" ref="D30:E30" si="2">D29+D27+D25</f>
        <v>11989906</v>
      </c>
      <c r="E30" s="64">
        <f t="shared" si="2"/>
        <v>117440762</v>
      </c>
      <c r="G30" s="26">
        <f>SUM(G23:G29)</f>
        <v>113924562</v>
      </c>
    </row>
    <row r="32" spans="1:19" x14ac:dyDescent="0.25">
      <c r="A32" s="141" t="s">
        <v>55</v>
      </c>
      <c r="B32" s="141"/>
      <c r="C32" s="141"/>
      <c r="D32" s="141"/>
      <c r="E32" s="141"/>
      <c r="F32" s="141"/>
      <c r="G32" s="141"/>
      <c r="H32" s="141"/>
      <c r="I32" s="141"/>
      <c r="J32" s="141"/>
    </row>
    <row r="33" spans="1:11" ht="15" customHeight="1" x14ac:dyDescent="0.25">
      <c r="A33" s="142" t="s">
        <v>56</v>
      </c>
      <c r="B33" s="142" t="s">
        <v>57</v>
      </c>
      <c r="C33" s="142" t="s">
        <v>5</v>
      </c>
      <c r="D33" s="142" t="s">
        <v>58</v>
      </c>
      <c r="E33" s="137" t="s">
        <v>84</v>
      </c>
      <c r="F33" s="138"/>
      <c r="G33" s="138"/>
      <c r="H33" s="138"/>
      <c r="I33" s="138"/>
      <c r="J33" s="139"/>
      <c r="K33" s="128" t="s">
        <v>82</v>
      </c>
    </row>
    <row r="34" spans="1:11" ht="14.25" customHeight="1" x14ac:dyDescent="0.25">
      <c r="A34" s="142"/>
      <c r="B34" s="142"/>
      <c r="C34" s="142"/>
      <c r="D34" s="142"/>
      <c r="E34" s="129" t="s">
        <v>7</v>
      </c>
      <c r="F34" s="130" t="s">
        <v>59</v>
      </c>
      <c r="G34" s="130"/>
      <c r="H34" s="131" t="s">
        <v>9</v>
      </c>
      <c r="I34" s="132"/>
      <c r="J34" s="133"/>
      <c r="K34" s="128"/>
    </row>
    <row r="35" spans="1:11" x14ac:dyDescent="0.25">
      <c r="A35" s="142"/>
      <c r="B35" s="142"/>
      <c r="C35" s="142"/>
      <c r="D35" s="142"/>
      <c r="E35" s="129"/>
      <c r="F35" s="130"/>
      <c r="G35" s="130"/>
      <c r="H35" s="134"/>
      <c r="I35" s="135"/>
      <c r="J35" s="136"/>
      <c r="K35" s="128"/>
    </row>
    <row r="36" spans="1:11" ht="51" x14ac:dyDescent="0.25">
      <c r="A36" s="142"/>
      <c r="B36" s="142"/>
      <c r="C36" s="142"/>
      <c r="D36" s="142"/>
      <c r="E36" s="129"/>
      <c r="F36" s="101" t="s">
        <v>60</v>
      </c>
      <c r="G36" s="102" t="s">
        <v>61</v>
      </c>
      <c r="H36" s="101" t="s">
        <v>62</v>
      </c>
      <c r="I36" s="101" t="s">
        <v>38</v>
      </c>
      <c r="J36" s="91" t="s">
        <v>109</v>
      </c>
      <c r="K36" s="128"/>
    </row>
    <row r="37" spans="1:11" x14ac:dyDescent="0.25">
      <c r="A37" s="29" t="s">
        <v>11</v>
      </c>
      <c r="B37" s="30">
        <v>2</v>
      </c>
      <c r="C37" s="31" t="s">
        <v>49</v>
      </c>
      <c r="D37" s="31" t="s">
        <v>50</v>
      </c>
      <c r="E37" s="40">
        <f t="shared" ref="E37:I37" si="3">SUM(H14,H16,H17)</f>
        <v>47418000</v>
      </c>
      <c r="F37" s="40">
        <f t="shared" si="3"/>
        <v>40305300</v>
      </c>
      <c r="G37" s="40">
        <f t="shared" si="3"/>
        <v>4101360</v>
      </c>
      <c r="H37" s="40">
        <f t="shared" si="3"/>
        <v>1045.74</v>
      </c>
      <c r="I37" s="40">
        <f t="shared" si="3"/>
        <v>1965600</v>
      </c>
      <c r="J37" s="100">
        <v>0</v>
      </c>
      <c r="K37" s="49">
        <f>SUM(N14,N16,N17)</f>
        <v>0</v>
      </c>
    </row>
    <row r="38" spans="1:11" ht="14.25" customHeight="1" x14ac:dyDescent="0.25">
      <c r="A38" s="140" t="s">
        <v>12</v>
      </c>
      <c r="B38" s="32" t="s">
        <v>45</v>
      </c>
      <c r="C38" s="32" t="s">
        <v>46</v>
      </c>
      <c r="D38" s="32" t="s">
        <v>48</v>
      </c>
      <c r="E38" s="49">
        <f>SUM(H10:H13)</f>
        <v>41365146</v>
      </c>
      <c r="F38" s="49">
        <f>SUM(I10:I13)</f>
        <v>14024064</v>
      </c>
      <c r="G38" s="49">
        <f>SUM(J10:J13)</f>
        <v>7888546</v>
      </c>
      <c r="H38" s="49">
        <f t="shared" ref="H38:I38" si="4">SUM(K10,K12,K13)</f>
        <v>0</v>
      </c>
      <c r="I38" s="49">
        <f t="shared" si="4"/>
        <v>0</v>
      </c>
      <c r="J38" s="164">
        <f>SUM(M10:M13)</f>
        <v>19452536</v>
      </c>
      <c r="K38" s="49">
        <f>SUM(N10,N12,N13)</f>
        <v>9463436</v>
      </c>
    </row>
    <row r="39" spans="1:11" ht="15.75" customHeight="1" x14ac:dyDescent="0.25">
      <c r="A39" s="140"/>
      <c r="B39" s="32" t="s">
        <v>45</v>
      </c>
      <c r="C39" s="32" t="s">
        <v>46</v>
      </c>
      <c r="D39" s="32" t="s">
        <v>47</v>
      </c>
      <c r="E39" s="49">
        <f t="shared" ref="E39:I39" si="5">SUM(H9)</f>
        <v>0</v>
      </c>
      <c r="F39" s="49">
        <f t="shared" si="5"/>
        <v>0</v>
      </c>
      <c r="G39" s="49">
        <f t="shared" si="5"/>
        <v>0</v>
      </c>
      <c r="H39" s="49">
        <f t="shared" si="5"/>
        <v>0</v>
      </c>
      <c r="I39" s="49">
        <f t="shared" si="5"/>
        <v>0</v>
      </c>
      <c r="J39" s="100">
        <v>0</v>
      </c>
      <c r="K39" s="49">
        <f>SUM(N9)</f>
        <v>0</v>
      </c>
    </row>
    <row r="40" spans="1:11" x14ac:dyDescent="0.25">
      <c r="A40" s="29" t="s">
        <v>10</v>
      </c>
      <c r="B40" s="33">
        <v>4</v>
      </c>
      <c r="C40" s="33" t="s">
        <v>40</v>
      </c>
      <c r="D40" s="34" t="s">
        <v>41</v>
      </c>
      <c r="E40" s="49">
        <f t="shared" ref="E40:I40" si="6">SUM(H6,H7,H8,H15)</f>
        <v>48978412.659999996</v>
      </c>
      <c r="F40" s="49">
        <f t="shared" si="6"/>
        <v>46529492</v>
      </c>
      <c r="G40" s="49">
        <f t="shared" si="6"/>
        <v>0</v>
      </c>
      <c r="H40" s="49">
        <f t="shared" si="6"/>
        <v>2383460.66</v>
      </c>
      <c r="I40" s="49">
        <f t="shared" si="6"/>
        <v>65460</v>
      </c>
      <c r="J40" s="100">
        <v>0</v>
      </c>
      <c r="K40" s="49">
        <f>SUM(N6,N7,N8,N15)</f>
        <v>0</v>
      </c>
    </row>
    <row r="41" spans="1:11" x14ac:dyDescent="0.25">
      <c r="A41" s="35" t="s">
        <v>13</v>
      </c>
      <c r="B41" s="11">
        <v>4</v>
      </c>
      <c r="C41" s="11"/>
      <c r="D41" s="36" t="s">
        <v>54</v>
      </c>
      <c r="E41" s="49">
        <f t="shared" ref="E41:I41" si="7">SUM(H18)</f>
        <v>5402350</v>
      </c>
      <c r="F41" s="49">
        <f t="shared" si="7"/>
        <v>4592000</v>
      </c>
      <c r="G41" s="49">
        <f t="shared" si="7"/>
        <v>0</v>
      </c>
      <c r="H41" s="49">
        <f t="shared" si="7"/>
        <v>810.34705882353001</v>
      </c>
      <c r="I41" s="49">
        <f t="shared" si="7"/>
        <v>0</v>
      </c>
      <c r="J41" s="100">
        <v>0</v>
      </c>
      <c r="K41" s="49">
        <f>SUM(N18)</f>
        <v>0</v>
      </c>
    </row>
  </sheetData>
  <mergeCells count="4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H34:J35"/>
    <mergeCell ref="E33:J33"/>
    <mergeCell ref="A10:A13"/>
    <mergeCell ref="A14:A17"/>
    <mergeCell ref="A19:E19"/>
    <mergeCell ref="A21:F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I21:L22"/>
    <mergeCell ref="M21:R22"/>
    <mergeCell ref="S21:S24"/>
    <mergeCell ref="I23:I24"/>
    <mergeCell ref="J23:J24"/>
    <mergeCell ref="K23:K24"/>
    <mergeCell ref="L23:L24"/>
    <mergeCell ref="M23:M24"/>
    <mergeCell ref="N23:O23"/>
    <mergeCell ref="P23:R2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L41"/>
  <sheetViews>
    <sheetView topLeftCell="A10" zoomScaleNormal="100" workbookViewId="0">
      <selection activeCell="K32" sqref="K32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10" width="11.42578125" style="8"/>
    <col min="11" max="11" width="13.5703125" style="8" customWidth="1"/>
    <col min="12" max="13" width="9.855468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24" t="s">
        <v>63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6" ht="14.25" customHeight="1" x14ac:dyDescent="0.25">
      <c r="A2" s="112" t="s">
        <v>0</v>
      </c>
      <c r="B2" s="112" t="s">
        <v>108</v>
      </c>
      <c r="C2" s="112" t="s">
        <v>1</v>
      </c>
      <c r="D2" s="112" t="s">
        <v>2</v>
      </c>
      <c r="E2" s="112"/>
      <c r="F2" s="112"/>
      <c r="G2" s="112"/>
      <c r="H2" s="113" t="s">
        <v>81</v>
      </c>
      <c r="I2" s="114"/>
      <c r="J2" s="114"/>
      <c r="K2" s="114"/>
      <c r="L2" s="114"/>
      <c r="M2" s="115"/>
      <c r="N2" s="112" t="s">
        <v>82</v>
      </c>
    </row>
    <row r="3" spans="1:16" ht="14.25" customHeight="1" x14ac:dyDescent="0.25">
      <c r="A3" s="112"/>
      <c r="B3" s="112"/>
      <c r="C3" s="112"/>
      <c r="D3" s="112"/>
      <c r="E3" s="112"/>
      <c r="F3" s="112"/>
      <c r="G3" s="112"/>
      <c r="H3" s="116"/>
      <c r="I3" s="117"/>
      <c r="J3" s="117"/>
      <c r="K3" s="117"/>
      <c r="L3" s="117"/>
      <c r="M3" s="118"/>
      <c r="N3" s="112"/>
    </row>
    <row r="4" spans="1:16" ht="14.25" customHeight="1" x14ac:dyDescent="0.25">
      <c r="A4" s="112"/>
      <c r="B4" s="112"/>
      <c r="C4" s="112"/>
      <c r="D4" s="143" t="s">
        <v>3</v>
      </c>
      <c r="E4" s="143" t="s">
        <v>4</v>
      </c>
      <c r="F4" s="143" t="s">
        <v>5</v>
      </c>
      <c r="G4" s="143" t="s">
        <v>6</v>
      </c>
      <c r="H4" s="144" t="s">
        <v>64</v>
      </c>
      <c r="I4" s="144" t="s">
        <v>8</v>
      </c>
      <c r="J4" s="144"/>
      <c r="K4" s="145" t="s">
        <v>9</v>
      </c>
      <c r="L4" s="146"/>
      <c r="M4" s="147"/>
      <c r="N4" s="112"/>
    </row>
    <row r="5" spans="1:16" ht="55.5" customHeight="1" x14ac:dyDescent="0.25">
      <c r="A5" s="112"/>
      <c r="B5" s="112"/>
      <c r="C5" s="112"/>
      <c r="D5" s="143"/>
      <c r="E5" s="143"/>
      <c r="F5" s="143"/>
      <c r="G5" s="143"/>
      <c r="H5" s="144"/>
      <c r="I5" s="1" t="s">
        <v>35</v>
      </c>
      <c r="J5" s="1" t="s">
        <v>36</v>
      </c>
      <c r="K5" s="1" t="s">
        <v>37</v>
      </c>
      <c r="L5" s="1" t="s">
        <v>38</v>
      </c>
      <c r="M5" s="111" t="s">
        <v>109</v>
      </c>
      <c r="N5" s="112"/>
    </row>
    <row r="6" spans="1:16" x14ac:dyDescent="0.25">
      <c r="A6" s="5" t="s">
        <v>15</v>
      </c>
      <c r="B6" s="9" t="s">
        <v>16</v>
      </c>
      <c r="C6" s="9"/>
      <c r="D6" s="90" t="s">
        <v>10</v>
      </c>
      <c r="E6" s="84">
        <v>4</v>
      </c>
      <c r="F6" s="85" t="s">
        <v>40</v>
      </c>
      <c r="G6" s="52" t="s">
        <v>41</v>
      </c>
      <c r="H6" s="53">
        <f>I6/0.95</f>
        <v>0</v>
      </c>
      <c r="I6" s="53">
        <v>0</v>
      </c>
      <c r="J6" s="53">
        <v>0</v>
      </c>
      <c r="K6" s="53">
        <f>H6*0.05</f>
        <v>0</v>
      </c>
      <c r="L6" s="53">
        <v>0</v>
      </c>
      <c r="M6" s="53">
        <v>0</v>
      </c>
      <c r="N6" s="53">
        <v>0</v>
      </c>
      <c r="P6" s="12"/>
    </row>
    <row r="7" spans="1:16" ht="14.25" customHeight="1" x14ac:dyDescent="0.25">
      <c r="A7" s="5" t="s">
        <v>17</v>
      </c>
      <c r="B7" s="9" t="s">
        <v>18</v>
      </c>
      <c r="C7" s="9"/>
      <c r="D7" s="90" t="s">
        <v>10</v>
      </c>
      <c r="E7" s="103">
        <v>4</v>
      </c>
      <c r="F7" s="87" t="s">
        <v>40</v>
      </c>
      <c r="G7" s="52" t="s">
        <v>41</v>
      </c>
      <c r="H7" s="53">
        <f>I7/0.95</f>
        <v>0</v>
      </c>
      <c r="I7" s="53">
        <v>0</v>
      </c>
      <c r="J7" s="53">
        <v>0</v>
      </c>
      <c r="K7" s="53">
        <f>H7*0.05</f>
        <v>0</v>
      </c>
      <c r="L7" s="53">
        <v>0</v>
      </c>
      <c r="M7" s="53">
        <v>0</v>
      </c>
      <c r="N7" s="53">
        <v>0</v>
      </c>
      <c r="P7" s="12"/>
    </row>
    <row r="8" spans="1:16" ht="14.25" customHeight="1" x14ac:dyDescent="0.25">
      <c r="A8" s="5" t="s">
        <v>42</v>
      </c>
      <c r="B8" s="9" t="s">
        <v>43</v>
      </c>
      <c r="C8" s="9"/>
      <c r="D8" s="90" t="s">
        <v>10</v>
      </c>
      <c r="E8" s="103">
        <v>4</v>
      </c>
      <c r="F8" s="87" t="s">
        <v>40</v>
      </c>
      <c r="G8" s="52" t="s">
        <v>41</v>
      </c>
      <c r="H8" s="53">
        <f>I8/0.95</f>
        <v>0</v>
      </c>
      <c r="I8" s="53">
        <v>0</v>
      </c>
      <c r="J8" s="53">
        <v>0</v>
      </c>
      <c r="K8" s="53">
        <f>H8*0.025</f>
        <v>0</v>
      </c>
      <c r="L8" s="53">
        <f>H8*0.025</f>
        <v>0</v>
      </c>
      <c r="M8" s="53">
        <v>0</v>
      </c>
      <c r="N8" s="53">
        <v>0</v>
      </c>
      <c r="P8" s="12"/>
    </row>
    <row r="9" spans="1:16" x14ac:dyDescent="0.25">
      <c r="A9" s="5" t="s">
        <v>44</v>
      </c>
      <c r="B9" s="76" t="s">
        <v>103</v>
      </c>
      <c r="C9" s="9"/>
      <c r="D9" s="90" t="s">
        <v>12</v>
      </c>
      <c r="E9" s="88" t="s">
        <v>45</v>
      </c>
      <c r="F9" s="87" t="s">
        <v>46</v>
      </c>
      <c r="G9" s="52" t="s">
        <v>47</v>
      </c>
      <c r="H9" s="53">
        <v>0</v>
      </c>
      <c r="I9" s="53">
        <v>0</v>
      </c>
      <c r="J9" s="53">
        <f>H9*0.8*0.25</f>
        <v>0</v>
      </c>
      <c r="K9" s="53">
        <v>0</v>
      </c>
      <c r="L9" s="53">
        <f>H9*0.2</f>
        <v>0</v>
      </c>
      <c r="M9" s="53">
        <v>0</v>
      </c>
      <c r="N9" s="53">
        <v>0</v>
      </c>
      <c r="O9" s="14" t="s">
        <v>101</v>
      </c>
      <c r="P9" s="12"/>
    </row>
    <row r="10" spans="1:16" ht="14.25" customHeight="1" x14ac:dyDescent="0.25">
      <c r="A10" s="148" t="s">
        <v>19</v>
      </c>
      <c r="B10" s="76" t="s">
        <v>104</v>
      </c>
      <c r="C10" s="9"/>
      <c r="D10" s="90" t="s">
        <v>12</v>
      </c>
      <c r="E10" s="88" t="s">
        <v>45</v>
      </c>
      <c r="F10" s="87" t="s">
        <v>46</v>
      </c>
      <c r="G10" s="52" t="s">
        <v>48</v>
      </c>
      <c r="H10" s="53">
        <v>0</v>
      </c>
      <c r="I10" s="53">
        <v>0</v>
      </c>
      <c r="J10" s="53">
        <f>H10*0.5*0.25</f>
        <v>0</v>
      </c>
      <c r="K10" s="53">
        <v>0</v>
      </c>
      <c r="L10" s="53">
        <f>H10*0.5</f>
        <v>0</v>
      </c>
      <c r="M10" s="53">
        <v>0</v>
      </c>
      <c r="N10" s="53">
        <v>0</v>
      </c>
      <c r="O10" s="14" t="s">
        <v>98</v>
      </c>
      <c r="P10" s="12"/>
    </row>
    <row r="11" spans="1:16" ht="14.25" customHeight="1" x14ac:dyDescent="0.25">
      <c r="A11" s="148"/>
      <c r="B11" s="94" t="s">
        <v>107</v>
      </c>
      <c r="C11" s="95"/>
      <c r="D11" s="86" t="s">
        <v>12</v>
      </c>
      <c r="E11" s="50" t="s">
        <v>45</v>
      </c>
      <c r="F11" s="87" t="s">
        <v>46</v>
      </c>
      <c r="G11" s="87" t="s">
        <v>48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16" t="s">
        <v>102</v>
      </c>
      <c r="P11" s="12"/>
    </row>
    <row r="12" spans="1:16" x14ac:dyDescent="0.25">
      <c r="A12" s="148"/>
      <c r="B12" s="77" t="s">
        <v>105</v>
      </c>
      <c r="C12" s="10"/>
      <c r="D12" s="90" t="s">
        <v>12</v>
      </c>
      <c r="E12" s="88" t="s">
        <v>45</v>
      </c>
      <c r="F12" s="87" t="s">
        <v>46</v>
      </c>
      <c r="G12" s="52" t="s">
        <v>48</v>
      </c>
      <c r="H12" s="53">
        <v>0</v>
      </c>
      <c r="I12" s="53">
        <v>0</v>
      </c>
      <c r="J12" s="53">
        <f>H12*0.5*0.25</f>
        <v>0</v>
      </c>
      <c r="K12" s="53">
        <v>0</v>
      </c>
      <c r="L12" s="53">
        <f>H12*0.5</f>
        <v>0</v>
      </c>
      <c r="M12" s="53">
        <v>0</v>
      </c>
      <c r="N12" s="53">
        <v>0</v>
      </c>
      <c r="O12" s="14" t="s">
        <v>99</v>
      </c>
      <c r="P12" s="12"/>
    </row>
    <row r="13" spans="1:16" x14ac:dyDescent="0.25">
      <c r="A13" s="148"/>
      <c r="B13" s="77" t="s">
        <v>106</v>
      </c>
      <c r="C13" s="10"/>
      <c r="D13" s="90" t="s">
        <v>12</v>
      </c>
      <c r="E13" s="88" t="s">
        <v>45</v>
      </c>
      <c r="F13" s="87" t="s">
        <v>46</v>
      </c>
      <c r="G13" s="52" t="s">
        <v>48</v>
      </c>
      <c r="H13" s="69">
        <v>0</v>
      </c>
      <c r="I13" s="53">
        <v>0</v>
      </c>
      <c r="J13" s="53">
        <f>H13*0.45*0.25</f>
        <v>0</v>
      </c>
      <c r="K13" s="53">
        <v>0</v>
      </c>
      <c r="L13" s="53">
        <f>H13*0.55</f>
        <v>0</v>
      </c>
      <c r="M13" s="53">
        <v>0</v>
      </c>
      <c r="N13" s="53">
        <v>0</v>
      </c>
      <c r="O13" s="14" t="s">
        <v>100</v>
      </c>
      <c r="P13" s="12"/>
    </row>
    <row r="14" spans="1:16" ht="14.25" customHeight="1" x14ac:dyDescent="0.25">
      <c r="A14" s="148" t="s">
        <v>21</v>
      </c>
      <c r="B14" s="10" t="s">
        <v>22</v>
      </c>
      <c r="C14" s="10"/>
      <c r="D14" s="90" t="s">
        <v>20</v>
      </c>
      <c r="E14" s="103">
        <v>2</v>
      </c>
      <c r="F14" s="87" t="s">
        <v>49</v>
      </c>
      <c r="G14" s="52" t="s">
        <v>50</v>
      </c>
      <c r="H14" s="53">
        <v>0</v>
      </c>
      <c r="I14" s="53">
        <v>0</v>
      </c>
      <c r="J14" s="53">
        <f>H14/2*0.1</f>
        <v>0</v>
      </c>
      <c r="K14" s="53">
        <f>H14/2*0.05</f>
        <v>0</v>
      </c>
      <c r="L14" s="53">
        <f>H14/2*0.15</f>
        <v>0</v>
      </c>
      <c r="M14" s="53">
        <v>0</v>
      </c>
      <c r="N14" s="53">
        <v>0</v>
      </c>
      <c r="P14" s="12"/>
    </row>
    <row r="15" spans="1:16" x14ac:dyDescent="0.25">
      <c r="A15" s="148"/>
      <c r="B15" s="10" t="s">
        <v>23</v>
      </c>
      <c r="C15" s="10"/>
      <c r="D15" s="90" t="s">
        <v>10</v>
      </c>
      <c r="E15" s="84">
        <v>4</v>
      </c>
      <c r="F15" s="85" t="s">
        <v>40</v>
      </c>
      <c r="G15" s="52" t="s">
        <v>41</v>
      </c>
      <c r="H15" s="53">
        <v>0</v>
      </c>
      <c r="I15" s="53">
        <v>0</v>
      </c>
      <c r="J15" s="53">
        <v>0</v>
      </c>
      <c r="K15" s="53">
        <v>0</v>
      </c>
      <c r="L15" s="53">
        <f>H15*0.05</f>
        <v>0</v>
      </c>
      <c r="M15" s="53">
        <v>0</v>
      </c>
      <c r="N15" s="53">
        <v>0</v>
      </c>
      <c r="P15" s="12"/>
    </row>
    <row r="16" spans="1:16" x14ac:dyDescent="0.25">
      <c r="A16" s="148"/>
      <c r="B16" s="10" t="s">
        <v>51</v>
      </c>
      <c r="C16" s="10"/>
      <c r="D16" s="90" t="s">
        <v>20</v>
      </c>
      <c r="E16" s="86">
        <v>2</v>
      </c>
      <c r="F16" s="87" t="s">
        <v>49</v>
      </c>
      <c r="G16" s="52" t="s">
        <v>50</v>
      </c>
      <c r="H16" s="53">
        <v>0</v>
      </c>
      <c r="I16" s="53">
        <v>0</v>
      </c>
      <c r="J16" s="53">
        <f>H16*0.1</f>
        <v>0</v>
      </c>
      <c r="K16" s="53">
        <f>H16*0.05</f>
        <v>0</v>
      </c>
      <c r="L16" s="53">
        <v>0</v>
      </c>
      <c r="M16" s="53">
        <v>0</v>
      </c>
      <c r="N16" s="53">
        <v>0</v>
      </c>
      <c r="P16" s="12"/>
    </row>
    <row r="17" spans="1:16" s="18" customFormat="1" ht="14.25" hidden="1" x14ac:dyDescent="0.25">
      <c r="A17" s="148"/>
      <c r="B17" s="17" t="s">
        <v>52</v>
      </c>
      <c r="C17" s="17"/>
      <c r="D17" s="89" t="s">
        <v>20</v>
      </c>
      <c r="E17" s="89">
        <v>2</v>
      </c>
      <c r="F17" s="51" t="s">
        <v>49</v>
      </c>
      <c r="G17" s="51" t="s">
        <v>50</v>
      </c>
      <c r="H17" s="44">
        <f>I17/0.85</f>
        <v>0</v>
      </c>
      <c r="I17" s="44">
        <v>0</v>
      </c>
      <c r="J17" s="44">
        <v>0</v>
      </c>
      <c r="K17" s="44">
        <v>0</v>
      </c>
      <c r="L17" s="44">
        <f>H17*0.15</f>
        <v>0</v>
      </c>
      <c r="M17" s="44"/>
      <c r="N17" s="44">
        <v>0</v>
      </c>
      <c r="P17" s="19"/>
    </row>
    <row r="18" spans="1:16" x14ac:dyDescent="0.25">
      <c r="A18" s="20" t="s">
        <v>24</v>
      </c>
      <c r="B18" s="21" t="s">
        <v>25</v>
      </c>
      <c r="C18" s="10"/>
      <c r="D18" s="90" t="s">
        <v>53</v>
      </c>
      <c r="E18" s="90">
        <v>4</v>
      </c>
      <c r="F18" s="90"/>
      <c r="G18" s="52" t="s">
        <v>54</v>
      </c>
      <c r="H18" s="53">
        <f>I18/0.85</f>
        <v>0</v>
      </c>
      <c r="I18" s="53">
        <v>0</v>
      </c>
      <c r="J18" s="53">
        <v>0</v>
      </c>
      <c r="K18" s="53">
        <f>H18*0.15</f>
        <v>0</v>
      </c>
      <c r="L18" s="53">
        <v>0</v>
      </c>
      <c r="M18" s="53">
        <v>0</v>
      </c>
      <c r="N18" s="53">
        <v>0</v>
      </c>
      <c r="P18" s="12"/>
    </row>
    <row r="19" spans="1:16" ht="14.25" customHeight="1" x14ac:dyDescent="0.25">
      <c r="A19" s="126" t="s">
        <v>14</v>
      </c>
      <c r="B19" s="126"/>
      <c r="C19" s="126"/>
      <c r="D19" s="126"/>
      <c r="E19" s="126"/>
      <c r="F19" s="3"/>
      <c r="G19" s="4"/>
      <c r="H19" s="4"/>
      <c r="I19" s="4"/>
      <c r="J19" s="4"/>
      <c r="K19" s="4"/>
      <c r="L19" s="4"/>
      <c r="M19" s="75"/>
      <c r="N19" s="4"/>
      <c r="P19" s="12"/>
    </row>
    <row r="21" spans="1:16" x14ac:dyDescent="0.25">
      <c r="A21" s="149" t="s">
        <v>85</v>
      </c>
      <c r="B21" s="149"/>
      <c r="C21" s="149"/>
      <c r="D21" s="149"/>
      <c r="E21" s="149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12" t="s">
        <v>27</v>
      </c>
      <c r="B23" s="9" t="s">
        <v>10</v>
      </c>
      <c r="C23" s="22">
        <f>SUM(I6,I7,I8,I15)</f>
        <v>0</v>
      </c>
      <c r="D23" s="22">
        <f>SUM(J6,J7,J8,J15,K6,K7,K8,K15,L6,L7,L8,L15)</f>
        <v>0</v>
      </c>
      <c r="E23" s="22">
        <f>SUM(H6,H7,H8,H15)</f>
        <v>0</v>
      </c>
    </row>
    <row r="24" spans="1:16" x14ac:dyDescent="0.25">
      <c r="A24" s="112"/>
      <c r="B24" s="9" t="s">
        <v>13</v>
      </c>
      <c r="C24" s="22">
        <f>SUM((I18))</f>
        <v>0</v>
      </c>
      <c r="D24" s="22">
        <f>SUM(J18,K18,L18)</f>
        <v>0</v>
      </c>
      <c r="E24" s="22">
        <f>SUM(H18)</f>
        <v>0</v>
      </c>
    </row>
    <row r="25" spans="1:16" x14ac:dyDescent="0.25">
      <c r="A25" s="112"/>
      <c r="B25" s="4" t="s">
        <v>28</v>
      </c>
      <c r="C25" s="25">
        <f>SUM(C23:C24)</f>
        <v>0</v>
      </c>
      <c r="D25" s="25">
        <f>SUM(D23:D24)</f>
        <v>0</v>
      </c>
      <c r="E25" s="25">
        <f>SUM(E23,E24)</f>
        <v>0</v>
      </c>
    </row>
    <row r="26" spans="1:16" ht="14.25" customHeight="1" x14ac:dyDescent="0.25">
      <c r="A26" s="112" t="s">
        <v>29</v>
      </c>
      <c r="B26" s="9" t="s">
        <v>11</v>
      </c>
      <c r="C26" s="22">
        <f>SUM(I14,I16,I17)</f>
        <v>0</v>
      </c>
      <c r="D26" s="22">
        <f>SUM(J14,J16,J17,K14,K16,K17,L14,L16,L17)</f>
        <v>0</v>
      </c>
      <c r="E26" s="22">
        <f>SUM(H14,H16,H17)</f>
        <v>0</v>
      </c>
    </row>
    <row r="27" spans="1:16" x14ac:dyDescent="0.25">
      <c r="A27" s="112"/>
      <c r="B27" s="4" t="s">
        <v>30</v>
      </c>
      <c r="C27" s="25">
        <f>SUM(C26)</f>
        <v>0</v>
      </c>
      <c r="D27" s="25">
        <f>SUM(D26)</f>
        <v>0</v>
      </c>
      <c r="E27" s="25">
        <f>SUM(E26)</f>
        <v>0</v>
      </c>
    </row>
    <row r="28" spans="1:16" ht="14.25" customHeight="1" x14ac:dyDescent="0.25">
      <c r="A28" s="112" t="s">
        <v>31</v>
      </c>
      <c r="B28" s="11" t="s">
        <v>12</v>
      </c>
      <c r="C28" s="37">
        <f>SUM(I9,I10,I12,I13)</f>
        <v>0</v>
      </c>
      <c r="D28" s="22">
        <f>SUM(J9,J10,J12,J13,K9,K10,K12,K13,L9,L10,L12,L13)</f>
        <v>0</v>
      </c>
      <c r="E28" s="22">
        <f>SUM(H9,H10,H12,H13)</f>
        <v>0</v>
      </c>
    </row>
    <row r="29" spans="1:16" x14ac:dyDescent="0.25">
      <c r="A29" s="112"/>
      <c r="B29" s="4" t="s">
        <v>32</v>
      </c>
      <c r="C29" s="25">
        <f>SUM(C28)</f>
        <v>0</v>
      </c>
      <c r="D29" s="25">
        <f>SUM(D28)</f>
        <v>0</v>
      </c>
      <c r="E29" s="25">
        <f>SUM(E28)</f>
        <v>0</v>
      </c>
    </row>
    <row r="30" spans="1:16" x14ac:dyDescent="0.25">
      <c r="A30" s="7" t="s">
        <v>33</v>
      </c>
      <c r="B30" s="4" t="s">
        <v>14</v>
      </c>
      <c r="C30" s="38">
        <f>C25+C27+C29</f>
        <v>0</v>
      </c>
      <c r="D30" s="38">
        <f>D25+D27+D29</f>
        <v>0</v>
      </c>
      <c r="E30" s="38">
        <f>E25+E27+E29</f>
        <v>0</v>
      </c>
    </row>
    <row r="32" spans="1:16" x14ac:dyDescent="0.25">
      <c r="A32" s="141" t="s">
        <v>65</v>
      </c>
      <c r="B32" s="141"/>
      <c r="C32" s="141"/>
      <c r="D32" s="141"/>
      <c r="E32" s="141"/>
      <c r="F32" s="141"/>
      <c r="G32" s="141"/>
      <c r="H32" s="141"/>
      <c r="I32" s="141"/>
      <c r="J32" s="141"/>
    </row>
    <row r="33" spans="1:11" ht="15" customHeight="1" x14ac:dyDescent="0.25">
      <c r="A33" s="142" t="s">
        <v>56</v>
      </c>
      <c r="B33" s="142" t="s">
        <v>4</v>
      </c>
      <c r="C33" s="142" t="s">
        <v>5</v>
      </c>
      <c r="D33" s="142" t="s">
        <v>58</v>
      </c>
      <c r="E33" s="137" t="s">
        <v>89</v>
      </c>
      <c r="F33" s="138"/>
      <c r="G33" s="138"/>
      <c r="H33" s="138"/>
      <c r="I33" s="138"/>
      <c r="J33" s="139"/>
      <c r="K33" s="128" t="s">
        <v>90</v>
      </c>
    </row>
    <row r="34" spans="1:11" ht="14.25" customHeight="1" x14ac:dyDescent="0.25">
      <c r="A34" s="142"/>
      <c r="B34" s="142"/>
      <c r="C34" s="142"/>
      <c r="D34" s="142"/>
      <c r="E34" s="150" t="s">
        <v>7</v>
      </c>
      <c r="F34" s="151" t="s">
        <v>59</v>
      </c>
      <c r="G34" s="151"/>
      <c r="H34" s="152" t="s">
        <v>9</v>
      </c>
      <c r="I34" s="153"/>
      <c r="J34" s="154"/>
      <c r="K34" s="128"/>
    </row>
    <row r="35" spans="1:11" x14ac:dyDescent="0.25">
      <c r="A35" s="142"/>
      <c r="B35" s="142"/>
      <c r="C35" s="142"/>
      <c r="D35" s="142"/>
      <c r="E35" s="150"/>
      <c r="F35" s="151"/>
      <c r="G35" s="151"/>
      <c r="H35" s="155"/>
      <c r="I35" s="156"/>
      <c r="J35" s="157"/>
      <c r="K35" s="128"/>
    </row>
    <row r="36" spans="1:11" ht="63.75" x14ac:dyDescent="0.25">
      <c r="A36" s="142"/>
      <c r="B36" s="142"/>
      <c r="C36" s="142"/>
      <c r="D36" s="142"/>
      <c r="E36" s="150"/>
      <c r="F36" s="27" t="s">
        <v>60</v>
      </c>
      <c r="G36" s="28" t="s">
        <v>61</v>
      </c>
      <c r="H36" s="27" t="s">
        <v>62</v>
      </c>
      <c r="I36" s="27" t="s">
        <v>38</v>
      </c>
      <c r="J36" s="111" t="s">
        <v>109</v>
      </c>
      <c r="K36" s="128"/>
    </row>
    <row r="37" spans="1:11" x14ac:dyDescent="0.25">
      <c r="A37" s="29" t="s">
        <v>11</v>
      </c>
      <c r="B37" s="30">
        <v>2</v>
      </c>
      <c r="C37" s="31" t="s">
        <v>49</v>
      </c>
      <c r="D37" s="31" t="s">
        <v>50</v>
      </c>
      <c r="E37" s="49">
        <f t="shared" ref="E37:I37" si="0">SUM(H14,H16,H17)</f>
        <v>0</v>
      </c>
      <c r="F37" s="49">
        <f t="shared" si="0"/>
        <v>0</v>
      </c>
      <c r="G37" s="49">
        <f t="shared" si="0"/>
        <v>0</v>
      </c>
      <c r="H37" s="49">
        <f t="shared" si="0"/>
        <v>0</v>
      </c>
      <c r="I37" s="49">
        <f t="shared" si="0"/>
        <v>0</v>
      </c>
      <c r="J37" s="100">
        <v>0</v>
      </c>
      <c r="K37" s="49">
        <f>SUM(N14,N16,N17)</f>
        <v>0</v>
      </c>
    </row>
    <row r="38" spans="1:11" ht="14.25" customHeight="1" x14ac:dyDescent="0.25">
      <c r="A38" s="140" t="s">
        <v>12</v>
      </c>
      <c r="B38" s="32" t="s">
        <v>45</v>
      </c>
      <c r="C38" s="32" t="s">
        <v>46</v>
      </c>
      <c r="D38" s="32" t="s">
        <v>48</v>
      </c>
      <c r="E38" s="49">
        <f t="shared" ref="E38:I38" si="1">SUM(H10,H12,H13)</f>
        <v>0</v>
      </c>
      <c r="F38" s="49">
        <f t="shared" si="1"/>
        <v>0</v>
      </c>
      <c r="G38" s="49">
        <f t="shared" si="1"/>
        <v>0</v>
      </c>
      <c r="H38" s="49">
        <f t="shared" si="1"/>
        <v>0</v>
      </c>
      <c r="I38" s="49">
        <f t="shared" si="1"/>
        <v>0</v>
      </c>
      <c r="J38" s="100">
        <v>0</v>
      </c>
      <c r="K38" s="49">
        <f>SUM(N10,N12,N13)</f>
        <v>0</v>
      </c>
    </row>
    <row r="39" spans="1:11" x14ac:dyDescent="0.25">
      <c r="A39" s="140"/>
      <c r="B39" s="32" t="s">
        <v>45</v>
      </c>
      <c r="C39" s="32" t="s">
        <v>46</v>
      </c>
      <c r="D39" s="32" t="s">
        <v>47</v>
      </c>
      <c r="E39" s="49">
        <f t="shared" ref="E39:I39" si="2">SUM(H9)</f>
        <v>0</v>
      </c>
      <c r="F39" s="49">
        <f t="shared" si="2"/>
        <v>0</v>
      </c>
      <c r="G39" s="49">
        <f t="shared" si="2"/>
        <v>0</v>
      </c>
      <c r="H39" s="49">
        <f t="shared" si="2"/>
        <v>0</v>
      </c>
      <c r="I39" s="49">
        <f t="shared" si="2"/>
        <v>0</v>
      </c>
      <c r="J39" s="100">
        <v>0</v>
      </c>
      <c r="K39" s="49">
        <f>SUM(N9)</f>
        <v>0</v>
      </c>
    </row>
    <row r="40" spans="1:11" x14ac:dyDescent="0.25">
      <c r="A40" s="29" t="s">
        <v>10</v>
      </c>
      <c r="B40" s="33">
        <v>4</v>
      </c>
      <c r="C40" s="33" t="s">
        <v>40</v>
      </c>
      <c r="D40" s="34" t="s">
        <v>41</v>
      </c>
      <c r="E40" s="49">
        <f t="shared" ref="E40:I40" si="3">SUM(H6,H7,H8,H15)</f>
        <v>0</v>
      </c>
      <c r="F40" s="49">
        <f t="shared" si="3"/>
        <v>0</v>
      </c>
      <c r="G40" s="49">
        <f t="shared" si="3"/>
        <v>0</v>
      </c>
      <c r="H40" s="49">
        <f t="shared" si="3"/>
        <v>0</v>
      </c>
      <c r="I40" s="49">
        <f t="shared" si="3"/>
        <v>0</v>
      </c>
      <c r="J40" s="100">
        <v>0</v>
      </c>
      <c r="K40" s="49">
        <f>SUM(N6,N7,N8,N15)</f>
        <v>0</v>
      </c>
    </row>
    <row r="41" spans="1:11" x14ac:dyDescent="0.25">
      <c r="A41" s="35" t="s">
        <v>13</v>
      </c>
      <c r="B41" s="11">
        <v>4</v>
      </c>
      <c r="C41" s="11"/>
      <c r="D41" s="36" t="s">
        <v>54</v>
      </c>
      <c r="E41" s="49">
        <f t="shared" ref="E41:I41" si="4">SUM(H18)</f>
        <v>0</v>
      </c>
      <c r="F41" s="49">
        <f t="shared" si="4"/>
        <v>0</v>
      </c>
      <c r="G41" s="49">
        <f t="shared" si="4"/>
        <v>0</v>
      </c>
      <c r="H41" s="49">
        <f t="shared" si="4"/>
        <v>0</v>
      </c>
      <c r="I41" s="49">
        <f t="shared" si="4"/>
        <v>0</v>
      </c>
      <c r="J41" s="100">
        <v>0</v>
      </c>
      <c r="K41" s="49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H34:J35"/>
    <mergeCell ref="E33:J33"/>
    <mergeCell ref="A10:A13"/>
    <mergeCell ref="A14:A17"/>
    <mergeCell ref="A19:E19"/>
    <mergeCell ref="A21:E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L41"/>
  <sheetViews>
    <sheetView topLeftCell="A10" zoomScaleNormal="100" workbookViewId="0">
      <selection activeCell="E34" sqref="E34:J36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3" style="8" customWidth="1"/>
    <col min="8" max="9" width="11.85546875" style="8" customWidth="1"/>
    <col min="10" max="10" width="11.42578125" style="8"/>
    <col min="11" max="11" width="13.5703125" style="8" customWidth="1"/>
    <col min="12" max="13" width="11.855468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24" t="s">
        <v>66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6" ht="14.25" customHeight="1" x14ac:dyDescent="0.25">
      <c r="A2" s="112" t="s">
        <v>0</v>
      </c>
      <c r="B2" s="112" t="s">
        <v>108</v>
      </c>
      <c r="C2" s="112" t="s">
        <v>1</v>
      </c>
      <c r="D2" s="112" t="s">
        <v>2</v>
      </c>
      <c r="E2" s="112"/>
      <c r="F2" s="112"/>
      <c r="G2" s="112"/>
      <c r="H2" s="113" t="s">
        <v>81</v>
      </c>
      <c r="I2" s="114"/>
      <c r="J2" s="114"/>
      <c r="K2" s="114"/>
      <c r="L2" s="114"/>
      <c r="M2" s="115"/>
      <c r="N2" s="112" t="s">
        <v>82</v>
      </c>
    </row>
    <row r="3" spans="1:16" ht="14.25" customHeight="1" x14ac:dyDescent="0.25">
      <c r="A3" s="112"/>
      <c r="B3" s="112"/>
      <c r="C3" s="112"/>
      <c r="D3" s="112"/>
      <c r="E3" s="112"/>
      <c r="F3" s="112"/>
      <c r="G3" s="112"/>
      <c r="H3" s="116"/>
      <c r="I3" s="117"/>
      <c r="J3" s="117"/>
      <c r="K3" s="117"/>
      <c r="L3" s="117"/>
      <c r="M3" s="118"/>
      <c r="N3" s="112"/>
    </row>
    <row r="4" spans="1:16" ht="14.25" customHeight="1" x14ac:dyDescent="0.25">
      <c r="A4" s="112"/>
      <c r="B4" s="112"/>
      <c r="C4" s="112"/>
      <c r="D4" s="119" t="s">
        <v>3</v>
      </c>
      <c r="E4" s="119" t="s">
        <v>4</v>
      </c>
      <c r="F4" s="119" t="s">
        <v>5</v>
      </c>
      <c r="G4" s="119" t="s">
        <v>6</v>
      </c>
      <c r="H4" s="120" t="s">
        <v>64</v>
      </c>
      <c r="I4" s="120" t="s">
        <v>8</v>
      </c>
      <c r="J4" s="120"/>
      <c r="K4" s="121" t="s">
        <v>9</v>
      </c>
      <c r="L4" s="122"/>
      <c r="M4" s="123"/>
      <c r="N4" s="112"/>
    </row>
    <row r="5" spans="1:16" ht="55.5" customHeight="1" x14ac:dyDescent="0.25">
      <c r="A5" s="112"/>
      <c r="B5" s="112"/>
      <c r="C5" s="112"/>
      <c r="D5" s="119"/>
      <c r="E5" s="119"/>
      <c r="F5" s="119"/>
      <c r="G5" s="119"/>
      <c r="H5" s="120"/>
      <c r="I5" s="91" t="s">
        <v>35</v>
      </c>
      <c r="J5" s="91" t="s">
        <v>36</v>
      </c>
      <c r="K5" s="91" t="s">
        <v>37</v>
      </c>
      <c r="L5" s="91" t="s">
        <v>38</v>
      </c>
      <c r="M5" s="91" t="s">
        <v>109</v>
      </c>
      <c r="N5" s="112"/>
    </row>
    <row r="6" spans="1:16" x14ac:dyDescent="0.25">
      <c r="A6" s="5" t="s">
        <v>15</v>
      </c>
      <c r="B6" s="94" t="s">
        <v>16</v>
      </c>
      <c r="C6" s="94"/>
      <c r="D6" s="90" t="s">
        <v>10</v>
      </c>
      <c r="E6" s="84">
        <v>4</v>
      </c>
      <c r="F6" s="85" t="s">
        <v>40</v>
      </c>
      <c r="G6" s="52" t="s">
        <v>41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P6" s="12"/>
    </row>
    <row r="7" spans="1:16" ht="14.25" customHeight="1" x14ac:dyDescent="0.25">
      <c r="A7" s="5" t="s">
        <v>17</v>
      </c>
      <c r="B7" s="94" t="s">
        <v>18</v>
      </c>
      <c r="C7" s="94"/>
      <c r="D7" s="90" t="s">
        <v>10</v>
      </c>
      <c r="E7" s="103">
        <v>4</v>
      </c>
      <c r="F7" s="88" t="s">
        <v>40</v>
      </c>
      <c r="G7" s="50" t="s">
        <v>41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53">
        <v>0</v>
      </c>
      <c r="N7" s="42">
        <v>0</v>
      </c>
      <c r="P7" s="12"/>
    </row>
    <row r="8" spans="1:16" ht="14.25" customHeight="1" x14ac:dyDescent="0.25">
      <c r="A8" s="5" t="s">
        <v>42</v>
      </c>
      <c r="B8" s="94" t="s">
        <v>43</v>
      </c>
      <c r="C8" s="94"/>
      <c r="D8" s="90" t="s">
        <v>10</v>
      </c>
      <c r="E8" s="103">
        <v>4</v>
      </c>
      <c r="F8" s="88" t="s">
        <v>40</v>
      </c>
      <c r="G8" s="50" t="s">
        <v>41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53">
        <v>0</v>
      </c>
      <c r="N8" s="42">
        <v>0</v>
      </c>
      <c r="P8" s="12"/>
    </row>
    <row r="9" spans="1:16" x14ac:dyDescent="0.25">
      <c r="A9" s="5" t="s">
        <v>44</v>
      </c>
      <c r="B9" s="94" t="s">
        <v>103</v>
      </c>
      <c r="C9" s="94"/>
      <c r="D9" s="90" t="s">
        <v>12</v>
      </c>
      <c r="E9" s="88" t="s">
        <v>45</v>
      </c>
      <c r="F9" s="88" t="s">
        <v>46</v>
      </c>
      <c r="G9" s="50" t="s">
        <v>47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53">
        <v>0</v>
      </c>
      <c r="N9" s="42">
        <v>0</v>
      </c>
      <c r="O9" s="14" t="s">
        <v>101</v>
      </c>
      <c r="P9" s="12"/>
    </row>
    <row r="10" spans="1:16" ht="14.25" customHeight="1" x14ac:dyDescent="0.25">
      <c r="A10" s="148" t="s">
        <v>19</v>
      </c>
      <c r="B10" s="94" t="s">
        <v>104</v>
      </c>
      <c r="C10" s="94"/>
      <c r="D10" s="90" t="s">
        <v>12</v>
      </c>
      <c r="E10" s="88" t="s">
        <v>45</v>
      </c>
      <c r="F10" s="88" t="s">
        <v>46</v>
      </c>
      <c r="G10" s="50" t="s">
        <v>48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53">
        <v>0</v>
      </c>
      <c r="N10" s="42">
        <v>0</v>
      </c>
      <c r="O10" s="14" t="s">
        <v>98</v>
      </c>
      <c r="P10" s="12"/>
    </row>
    <row r="11" spans="1:16" ht="14.25" customHeight="1" x14ac:dyDescent="0.25">
      <c r="A11" s="148"/>
      <c r="B11" s="94" t="s">
        <v>107</v>
      </c>
      <c r="C11" s="95"/>
      <c r="D11" s="86" t="s">
        <v>12</v>
      </c>
      <c r="E11" s="50" t="s">
        <v>45</v>
      </c>
      <c r="F11" s="87" t="s">
        <v>46</v>
      </c>
      <c r="G11" s="87" t="s">
        <v>48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16" t="s">
        <v>102</v>
      </c>
      <c r="P11" s="12"/>
    </row>
    <row r="12" spans="1:16" x14ac:dyDescent="0.25">
      <c r="A12" s="148"/>
      <c r="B12" s="96" t="s">
        <v>105</v>
      </c>
      <c r="C12" s="96"/>
      <c r="D12" s="90" t="s">
        <v>12</v>
      </c>
      <c r="E12" s="88" t="s">
        <v>45</v>
      </c>
      <c r="F12" s="88" t="s">
        <v>46</v>
      </c>
      <c r="G12" s="50" t="s">
        <v>48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53">
        <v>0</v>
      </c>
      <c r="N12" s="42">
        <v>0</v>
      </c>
      <c r="O12" s="14" t="s">
        <v>99</v>
      </c>
      <c r="P12" s="12"/>
    </row>
    <row r="13" spans="1:16" x14ac:dyDescent="0.25">
      <c r="A13" s="148"/>
      <c r="B13" s="96" t="s">
        <v>106</v>
      </c>
      <c r="C13" s="96"/>
      <c r="D13" s="90" t="s">
        <v>12</v>
      </c>
      <c r="E13" s="88" t="s">
        <v>45</v>
      </c>
      <c r="F13" s="88" t="s">
        <v>46</v>
      </c>
      <c r="G13" s="50" t="s">
        <v>48</v>
      </c>
      <c r="H13" s="73">
        <v>0</v>
      </c>
      <c r="I13" s="73">
        <v>0</v>
      </c>
      <c r="J13" s="42">
        <v>0</v>
      </c>
      <c r="K13" s="42">
        <v>0</v>
      </c>
      <c r="L13" s="42">
        <v>0</v>
      </c>
      <c r="M13" s="53">
        <v>0</v>
      </c>
      <c r="N13" s="42">
        <v>0</v>
      </c>
      <c r="O13" s="14" t="s">
        <v>100</v>
      </c>
      <c r="P13" s="12"/>
    </row>
    <row r="14" spans="1:16" ht="14.25" customHeight="1" x14ac:dyDescent="0.25">
      <c r="A14" s="148" t="s">
        <v>21</v>
      </c>
      <c r="B14" s="96" t="s">
        <v>22</v>
      </c>
      <c r="C14" s="96"/>
      <c r="D14" s="90" t="s">
        <v>20</v>
      </c>
      <c r="E14" s="103">
        <v>2</v>
      </c>
      <c r="F14" s="88" t="s">
        <v>49</v>
      </c>
      <c r="G14" s="50" t="s">
        <v>50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53">
        <v>0</v>
      </c>
      <c r="N14" s="42">
        <v>0</v>
      </c>
      <c r="P14" s="12"/>
    </row>
    <row r="15" spans="1:16" x14ac:dyDescent="0.25">
      <c r="A15" s="148"/>
      <c r="B15" s="96" t="s">
        <v>23</v>
      </c>
      <c r="C15" s="96"/>
      <c r="D15" s="90" t="s">
        <v>10</v>
      </c>
      <c r="E15" s="104">
        <v>4</v>
      </c>
      <c r="F15" s="105" t="s">
        <v>40</v>
      </c>
      <c r="G15" s="50" t="s">
        <v>41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53">
        <v>0</v>
      </c>
      <c r="N15" s="42">
        <v>0</v>
      </c>
      <c r="P15" s="12"/>
    </row>
    <row r="16" spans="1:16" x14ac:dyDescent="0.25">
      <c r="A16" s="148"/>
      <c r="B16" s="96" t="s">
        <v>51</v>
      </c>
      <c r="C16" s="96"/>
      <c r="D16" s="90" t="s">
        <v>20</v>
      </c>
      <c r="E16" s="103">
        <v>2</v>
      </c>
      <c r="F16" s="88" t="s">
        <v>49</v>
      </c>
      <c r="G16" s="50" t="s">
        <v>50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53">
        <v>0</v>
      </c>
      <c r="N16" s="42">
        <v>0</v>
      </c>
      <c r="P16" s="12"/>
    </row>
    <row r="17" spans="1:16" s="18" customFormat="1" ht="14.25" hidden="1" x14ac:dyDescent="0.25">
      <c r="A17" s="148"/>
      <c r="B17" s="98" t="s">
        <v>52</v>
      </c>
      <c r="C17" s="98"/>
      <c r="D17" s="89" t="s">
        <v>20</v>
      </c>
      <c r="E17" s="89">
        <v>2</v>
      </c>
      <c r="F17" s="51" t="s">
        <v>49</v>
      </c>
      <c r="G17" s="51" t="s">
        <v>50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/>
      <c r="N17" s="44">
        <v>0</v>
      </c>
      <c r="P17" s="19"/>
    </row>
    <row r="18" spans="1:16" x14ac:dyDescent="0.25">
      <c r="A18" s="20" t="s">
        <v>24</v>
      </c>
      <c r="B18" s="99" t="s">
        <v>25</v>
      </c>
      <c r="C18" s="96"/>
      <c r="D18" s="90" t="s">
        <v>53</v>
      </c>
      <c r="E18" s="90">
        <v>4</v>
      </c>
      <c r="F18" s="90"/>
      <c r="G18" s="52" t="s">
        <v>54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53">
        <v>0</v>
      </c>
      <c r="N18" s="45">
        <v>0</v>
      </c>
      <c r="P18" s="12"/>
    </row>
    <row r="19" spans="1:16" ht="14.25" customHeight="1" x14ac:dyDescent="0.25">
      <c r="A19" s="126" t="s">
        <v>14</v>
      </c>
      <c r="B19" s="126"/>
      <c r="C19" s="126"/>
      <c r="D19" s="126"/>
      <c r="E19" s="126"/>
      <c r="F19" s="3"/>
      <c r="G19" s="4"/>
      <c r="H19" s="4"/>
      <c r="I19" s="4"/>
      <c r="J19" s="4"/>
      <c r="K19" s="4"/>
      <c r="L19" s="4"/>
      <c r="M19" s="75"/>
      <c r="N19" s="4"/>
      <c r="P19" s="12"/>
    </row>
    <row r="21" spans="1:16" x14ac:dyDescent="0.25">
      <c r="A21" s="149" t="s">
        <v>91</v>
      </c>
      <c r="B21" s="149"/>
      <c r="C21" s="149"/>
      <c r="D21" s="149"/>
      <c r="E21" s="149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12" t="s">
        <v>27</v>
      </c>
      <c r="B23" s="9" t="s">
        <v>10</v>
      </c>
      <c r="C23" s="46">
        <v>0</v>
      </c>
      <c r="D23" s="46">
        <v>0</v>
      </c>
      <c r="E23" s="46">
        <f t="shared" ref="E23:E30" si="0">C23+D23</f>
        <v>0</v>
      </c>
    </row>
    <row r="24" spans="1:16" x14ac:dyDescent="0.25">
      <c r="A24" s="112"/>
      <c r="B24" s="9" t="s">
        <v>13</v>
      </c>
      <c r="C24" s="46">
        <f>I18</f>
        <v>0</v>
      </c>
      <c r="D24" s="46">
        <v>0</v>
      </c>
      <c r="E24" s="46">
        <f t="shared" si="0"/>
        <v>0</v>
      </c>
    </row>
    <row r="25" spans="1:16" x14ac:dyDescent="0.25">
      <c r="A25" s="112"/>
      <c r="B25" s="4" t="s">
        <v>28</v>
      </c>
      <c r="C25" s="62">
        <v>0</v>
      </c>
      <c r="D25" s="62">
        <f>SUM(D23:D24)</f>
        <v>0</v>
      </c>
      <c r="E25" s="62">
        <f>SUM(E23:E24)</f>
        <v>0</v>
      </c>
    </row>
    <row r="26" spans="1:16" ht="14.25" customHeight="1" x14ac:dyDescent="0.25">
      <c r="A26" s="112" t="s">
        <v>29</v>
      </c>
      <c r="B26" s="9" t="s">
        <v>11</v>
      </c>
      <c r="C26" s="46">
        <f>SUM(I14,I16,I17)</f>
        <v>0</v>
      </c>
      <c r="D26" s="46">
        <f>SUM(J14,J16,J17,K14,K16,K17,L14,L16,L17)</f>
        <v>0</v>
      </c>
      <c r="E26" s="46">
        <f t="shared" si="0"/>
        <v>0</v>
      </c>
    </row>
    <row r="27" spans="1:16" x14ac:dyDescent="0.25">
      <c r="A27" s="112"/>
      <c r="B27" s="4" t="s">
        <v>30</v>
      </c>
      <c r="C27" s="62">
        <f>SUM(C26)</f>
        <v>0</v>
      </c>
      <c r="D27" s="62">
        <f>SUM(D26)</f>
        <v>0</v>
      </c>
      <c r="E27" s="62">
        <f>SUM(E26)</f>
        <v>0</v>
      </c>
    </row>
    <row r="28" spans="1:16" ht="14.25" customHeight="1" x14ac:dyDescent="0.25">
      <c r="A28" s="112" t="s">
        <v>31</v>
      </c>
      <c r="B28" s="11" t="s">
        <v>12</v>
      </c>
      <c r="C28" s="41">
        <f>SUM(I9:I13)</f>
        <v>0</v>
      </c>
      <c r="D28" s="41">
        <f>SUM(J9:J13)</f>
        <v>0</v>
      </c>
      <c r="E28" s="41">
        <f>C28+D28</f>
        <v>0</v>
      </c>
    </row>
    <row r="29" spans="1:16" x14ac:dyDescent="0.25">
      <c r="A29" s="112"/>
      <c r="B29" s="4" t="s">
        <v>32</v>
      </c>
      <c r="C29" s="62">
        <f>SUM(C28)</f>
        <v>0</v>
      </c>
      <c r="D29" s="62">
        <f>SUM(D28)</f>
        <v>0</v>
      </c>
      <c r="E29" s="46">
        <f t="shared" si="0"/>
        <v>0</v>
      </c>
    </row>
    <row r="30" spans="1:16" x14ac:dyDescent="0.25">
      <c r="A30" s="7" t="s">
        <v>33</v>
      </c>
      <c r="B30" s="4" t="s">
        <v>14</v>
      </c>
      <c r="C30" s="65">
        <f>C25+C27+C29</f>
        <v>0</v>
      </c>
      <c r="D30" s="65">
        <f>D25+D27+D29</f>
        <v>0</v>
      </c>
      <c r="E30" s="66">
        <f t="shared" si="0"/>
        <v>0</v>
      </c>
    </row>
    <row r="32" spans="1:16" x14ac:dyDescent="0.25">
      <c r="A32" s="141" t="s">
        <v>67</v>
      </c>
      <c r="B32" s="141"/>
      <c r="C32" s="141"/>
      <c r="D32" s="141"/>
      <c r="E32" s="141"/>
      <c r="F32" s="141"/>
      <c r="G32" s="141"/>
      <c r="H32" s="141"/>
      <c r="I32" s="141"/>
      <c r="J32" s="141"/>
    </row>
    <row r="33" spans="1:11" ht="15" customHeight="1" x14ac:dyDescent="0.25">
      <c r="A33" s="142" t="s">
        <v>56</v>
      </c>
      <c r="B33" s="142" t="s">
        <v>57</v>
      </c>
      <c r="C33" s="142" t="s">
        <v>5</v>
      </c>
      <c r="D33" s="142" t="s">
        <v>58</v>
      </c>
      <c r="E33" s="137" t="s">
        <v>84</v>
      </c>
      <c r="F33" s="138"/>
      <c r="G33" s="138"/>
      <c r="H33" s="138"/>
      <c r="I33" s="138"/>
      <c r="J33" s="139"/>
      <c r="K33" s="128" t="s">
        <v>82</v>
      </c>
    </row>
    <row r="34" spans="1:11" ht="14.25" customHeight="1" x14ac:dyDescent="0.25">
      <c r="A34" s="142"/>
      <c r="B34" s="142"/>
      <c r="C34" s="142"/>
      <c r="D34" s="142"/>
      <c r="E34" s="129" t="s">
        <v>7</v>
      </c>
      <c r="F34" s="130" t="s">
        <v>59</v>
      </c>
      <c r="G34" s="130"/>
      <c r="H34" s="131" t="s">
        <v>9</v>
      </c>
      <c r="I34" s="132"/>
      <c r="J34" s="133"/>
      <c r="K34" s="128"/>
    </row>
    <row r="35" spans="1:11" ht="14.25" customHeight="1" x14ac:dyDescent="0.25">
      <c r="A35" s="142"/>
      <c r="B35" s="142"/>
      <c r="C35" s="142"/>
      <c r="D35" s="142"/>
      <c r="E35" s="129"/>
      <c r="F35" s="130"/>
      <c r="G35" s="130"/>
      <c r="H35" s="134"/>
      <c r="I35" s="135"/>
      <c r="J35" s="136"/>
      <c r="K35" s="128"/>
    </row>
    <row r="36" spans="1:11" ht="63.75" x14ac:dyDescent="0.25">
      <c r="A36" s="142"/>
      <c r="B36" s="142"/>
      <c r="C36" s="142"/>
      <c r="D36" s="142"/>
      <c r="E36" s="129"/>
      <c r="F36" s="101" t="s">
        <v>60</v>
      </c>
      <c r="G36" s="102" t="s">
        <v>61</v>
      </c>
      <c r="H36" s="101" t="s">
        <v>62</v>
      </c>
      <c r="I36" s="101" t="s">
        <v>38</v>
      </c>
      <c r="J36" s="91" t="s">
        <v>109</v>
      </c>
      <c r="K36" s="128"/>
    </row>
    <row r="37" spans="1:11" x14ac:dyDescent="0.25">
      <c r="A37" s="29" t="s">
        <v>11</v>
      </c>
      <c r="B37" s="30">
        <v>2</v>
      </c>
      <c r="C37" s="31" t="s">
        <v>49</v>
      </c>
      <c r="D37" s="31" t="s">
        <v>50</v>
      </c>
      <c r="E37" s="49">
        <f t="shared" ref="E37:I37" si="1">SUM(H14,H16,H17)</f>
        <v>0</v>
      </c>
      <c r="F37" s="49">
        <f t="shared" si="1"/>
        <v>0</v>
      </c>
      <c r="G37" s="49">
        <f t="shared" si="1"/>
        <v>0</v>
      </c>
      <c r="H37" s="49">
        <f t="shared" si="1"/>
        <v>0</v>
      </c>
      <c r="I37" s="49">
        <f t="shared" si="1"/>
        <v>0</v>
      </c>
      <c r="J37" s="100">
        <v>0</v>
      </c>
      <c r="K37" s="49">
        <f>SUM(N14,N16,N17)</f>
        <v>0</v>
      </c>
    </row>
    <row r="38" spans="1:11" ht="14.25" customHeight="1" x14ac:dyDescent="0.25">
      <c r="A38" s="140" t="s">
        <v>12</v>
      </c>
      <c r="B38" s="32" t="s">
        <v>45</v>
      </c>
      <c r="C38" s="32" t="s">
        <v>46</v>
      </c>
      <c r="D38" s="32" t="s">
        <v>48</v>
      </c>
      <c r="E38" s="49">
        <f t="shared" ref="E38:I38" si="2">SUM(H10,H12,H13)</f>
        <v>0</v>
      </c>
      <c r="F38" s="49">
        <f t="shared" si="2"/>
        <v>0</v>
      </c>
      <c r="G38" s="49">
        <f t="shared" si="2"/>
        <v>0</v>
      </c>
      <c r="H38" s="49">
        <f t="shared" si="2"/>
        <v>0</v>
      </c>
      <c r="I38" s="49">
        <f t="shared" si="2"/>
        <v>0</v>
      </c>
      <c r="J38" s="100">
        <v>0</v>
      </c>
      <c r="K38" s="49">
        <f>SUM(N10,N12,N13)</f>
        <v>0</v>
      </c>
    </row>
    <row r="39" spans="1:11" x14ac:dyDescent="0.25">
      <c r="A39" s="140"/>
      <c r="B39" s="32" t="s">
        <v>45</v>
      </c>
      <c r="C39" s="32" t="s">
        <v>46</v>
      </c>
      <c r="D39" s="32" t="s">
        <v>47</v>
      </c>
      <c r="E39" s="49">
        <f t="shared" ref="E39:I39" si="3">SUM(H9)</f>
        <v>0</v>
      </c>
      <c r="F39" s="49">
        <f t="shared" si="3"/>
        <v>0</v>
      </c>
      <c r="G39" s="49">
        <f t="shared" si="3"/>
        <v>0</v>
      </c>
      <c r="H39" s="49">
        <f t="shared" si="3"/>
        <v>0</v>
      </c>
      <c r="I39" s="49">
        <f t="shared" si="3"/>
        <v>0</v>
      </c>
      <c r="J39" s="100">
        <v>0</v>
      </c>
      <c r="K39" s="49">
        <f>SUM(N9)</f>
        <v>0</v>
      </c>
    </row>
    <row r="40" spans="1:11" x14ac:dyDescent="0.25">
      <c r="A40" s="29" t="s">
        <v>10</v>
      </c>
      <c r="B40" s="33">
        <v>4</v>
      </c>
      <c r="C40" s="33" t="s">
        <v>40</v>
      </c>
      <c r="D40" s="34" t="s">
        <v>41</v>
      </c>
      <c r="E40" s="49">
        <f t="shared" ref="E40:I40" si="4">SUM(H6,H7,H8,H15)</f>
        <v>0</v>
      </c>
      <c r="F40" s="49">
        <f t="shared" si="4"/>
        <v>0</v>
      </c>
      <c r="G40" s="49">
        <f t="shared" si="4"/>
        <v>0</v>
      </c>
      <c r="H40" s="49">
        <f t="shared" si="4"/>
        <v>0</v>
      </c>
      <c r="I40" s="49">
        <f t="shared" si="4"/>
        <v>0</v>
      </c>
      <c r="J40" s="100">
        <v>0</v>
      </c>
      <c r="K40" s="49">
        <f>SUM(N6,N7,N8,N15)</f>
        <v>0</v>
      </c>
    </row>
    <row r="41" spans="1:11" x14ac:dyDescent="0.25">
      <c r="A41" s="35" t="s">
        <v>13</v>
      </c>
      <c r="B41" s="11">
        <v>4</v>
      </c>
      <c r="C41" s="11"/>
      <c r="D41" s="36" t="s">
        <v>54</v>
      </c>
      <c r="E41" s="49">
        <f t="shared" ref="E41:I41" si="5">SUM(H18)</f>
        <v>0</v>
      </c>
      <c r="F41" s="49">
        <f t="shared" si="5"/>
        <v>0</v>
      </c>
      <c r="G41" s="49">
        <f t="shared" si="5"/>
        <v>0</v>
      </c>
      <c r="H41" s="49">
        <f t="shared" si="5"/>
        <v>0</v>
      </c>
      <c r="I41" s="49">
        <f t="shared" si="5"/>
        <v>0</v>
      </c>
      <c r="J41" s="100">
        <v>0</v>
      </c>
      <c r="K41" s="49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H34:J35"/>
    <mergeCell ref="E33:J33"/>
    <mergeCell ref="A10:A13"/>
    <mergeCell ref="A14:A17"/>
    <mergeCell ref="A19:E19"/>
    <mergeCell ref="A21:E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L41"/>
  <sheetViews>
    <sheetView topLeftCell="D1" zoomScaleNormal="100" workbookViewId="0">
      <selection activeCell="G22" sqref="G22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3.7109375" style="8" customWidth="1"/>
    <col min="8" max="8" width="13" style="8" customWidth="1"/>
    <col min="9" max="9" width="11.85546875" style="8" customWidth="1"/>
    <col min="10" max="10" width="11.42578125" style="8"/>
    <col min="11" max="11" width="13.5703125" style="8" customWidth="1"/>
    <col min="12" max="13" width="11.85546875" style="8" customWidth="1"/>
    <col min="14" max="14" width="12" style="8" customWidth="1"/>
    <col min="15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24" t="s">
        <v>68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6" ht="14.25" customHeight="1" x14ac:dyDescent="0.25">
      <c r="A2" s="112" t="s">
        <v>0</v>
      </c>
      <c r="B2" s="112" t="s">
        <v>108</v>
      </c>
      <c r="C2" s="112" t="s">
        <v>1</v>
      </c>
      <c r="D2" s="112" t="s">
        <v>2</v>
      </c>
      <c r="E2" s="112"/>
      <c r="F2" s="112"/>
      <c r="G2" s="112"/>
      <c r="H2" s="113" t="s">
        <v>81</v>
      </c>
      <c r="I2" s="114"/>
      <c r="J2" s="114"/>
      <c r="K2" s="114"/>
      <c r="L2" s="114"/>
      <c r="M2" s="115"/>
      <c r="N2" s="112" t="s">
        <v>82</v>
      </c>
    </row>
    <row r="3" spans="1:16" ht="14.25" customHeight="1" x14ac:dyDescent="0.25">
      <c r="A3" s="112"/>
      <c r="B3" s="112"/>
      <c r="C3" s="112"/>
      <c r="D3" s="112"/>
      <c r="E3" s="112"/>
      <c r="F3" s="112"/>
      <c r="G3" s="112"/>
      <c r="H3" s="116"/>
      <c r="I3" s="117"/>
      <c r="J3" s="117"/>
      <c r="K3" s="117"/>
      <c r="L3" s="117"/>
      <c r="M3" s="118"/>
      <c r="N3" s="112"/>
    </row>
    <row r="4" spans="1:16" ht="14.25" customHeight="1" x14ac:dyDescent="0.25">
      <c r="A4" s="112"/>
      <c r="B4" s="112"/>
      <c r="C4" s="112"/>
      <c r="D4" s="119" t="s">
        <v>3</v>
      </c>
      <c r="E4" s="119" t="s">
        <v>4</v>
      </c>
      <c r="F4" s="119" t="s">
        <v>5</v>
      </c>
      <c r="G4" s="119" t="s">
        <v>6</v>
      </c>
      <c r="H4" s="120" t="s">
        <v>64</v>
      </c>
      <c r="I4" s="120" t="s">
        <v>8</v>
      </c>
      <c r="J4" s="120"/>
      <c r="K4" s="121" t="s">
        <v>9</v>
      </c>
      <c r="L4" s="122"/>
      <c r="M4" s="123"/>
      <c r="N4" s="112"/>
    </row>
    <row r="5" spans="1:16" ht="55.5" customHeight="1" x14ac:dyDescent="0.25">
      <c r="A5" s="112"/>
      <c r="B5" s="112"/>
      <c r="C5" s="112"/>
      <c r="D5" s="119"/>
      <c r="E5" s="119"/>
      <c r="F5" s="119"/>
      <c r="G5" s="119"/>
      <c r="H5" s="120"/>
      <c r="I5" s="91" t="s">
        <v>35</v>
      </c>
      <c r="J5" s="91" t="s">
        <v>36</v>
      </c>
      <c r="K5" s="91" t="s">
        <v>37</v>
      </c>
      <c r="L5" s="91" t="s">
        <v>38</v>
      </c>
      <c r="M5" s="91" t="s">
        <v>109</v>
      </c>
      <c r="N5" s="112"/>
    </row>
    <row r="6" spans="1:16" x14ac:dyDescent="0.25">
      <c r="A6" s="5" t="s">
        <v>15</v>
      </c>
      <c r="B6" s="94" t="s">
        <v>16</v>
      </c>
      <c r="C6" s="94"/>
      <c r="D6" s="90" t="s">
        <v>10</v>
      </c>
      <c r="E6" s="84">
        <v>4</v>
      </c>
      <c r="F6" s="85" t="s">
        <v>40</v>
      </c>
      <c r="G6" s="52" t="s">
        <v>41</v>
      </c>
      <c r="H6" s="53">
        <v>2153465.83</v>
      </c>
      <c r="I6" s="53">
        <v>2045792.53</v>
      </c>
      <c r="J6" s="53">
        <v>0</v>
      </c>
      <c r="K6" s="53">
        <f>H6-I6</f>
        <v>107673.30000000005</v>
      </c>
      <c r="L6" s="53">
        <v>0</v>
      </c>
      <c r="M6" s="53">
        <v>0</v>
      </c>
      <c r="N6" s="53">
        <v>0</v>
      </c>
      <c r="P6" s="12"/>
    </row>
    <row r="7" spans="1:16" ht="14.25" customHeight="1" x14ac:dyDescent="0.25">
      <c r="A7" s="5" t="s">
        <v>17</v>
      </c>
      <c r="B7" s="94" t="s">
        <v>18</v>
      </c>
      <c r="C7" s="94"/>
      <c r="D7" s="90" t="s">
        <v>10</v>
      </c>
      <c r="E7" s="103">
        <v>4</v>
      </c>
      <c r="F7" s="88" t="s">
        <v>40</v>
      </c>
      <c r="G7" s="50" t="s">
        <v>41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P7" s="12"/>
    </row>
    <row r="8" spans="1:16" ht="14.25" customHeight="1" x14ac:dyDescent="0.25">
      <c r="A8" s="5" t="s">
        <v>42</v>
      </c>
      <c r="B8" s="94" t="s">
        <v>43</v>
      </c>
      <c r="C8" s="94"/>
      <c r="D8" s="90" t="s">
        <v>10</v>
      </c>
      <c r="E8" s="103">
        <v>4</v>
      </c>
      <c r="F8" s="88" t="s">
        <v>40</v>
      </c>
      <c r="G8" s="50" t="s">
        <v>41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P8" s="12"/>
    </row>
    <row r="9" spans="1:16" x14ac:dyDescent="0.25">
      <c r="A9" s="5" t="s">
        <v>44</v>
      </c>
      <c r="B9" s="94" t="s">
        <v>103</v>
      </c>
      <c r="C9" s="94"/>
      <c r="D9" s="90" t="s">
        <v>12</v>
      </c>
      <c r="E9" s="88" t="s">
        <v>45</v>
      </c>
      <c r="F9" s="88" t="s">
        <v>46</v>
      </c>
      <c r="G9" s="50" t="s">
        <v>47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53">
        <v>0</v>
      </c>
      <c r="N9" s="53">
        <v>0</v>
      </c>
      <c r="O9" s="14" t="s">
        <v>101</v>
      </c>
      <c r="P9" s="12"/>
    </row>
    <row r="10" spans="1:16" ht="14.25" customHeight="1" x14ac:dyDescent="0.25">
      <c r="A10" s="148" t="s">
        <v>19</v>
      </c>
      <c r="B10" s="94" t="s">
        <v>104</v>
      </c>
      <c r="C10" s="94"/>
      <c r="D10" s="90" t="s">
        <v>12</v>
      </c>
      <c r="E10" s="88" t="s">
        <v>45</v>
      </c>
      <c r="F10" s="88" t="s">
        <v>46</v>
      </c>
      <c r="G10" s="50" t="s">
        <v>48</v>
      </c>
      <c r="H10" s="106">
        <v>11096198</v>
      </c>
      <c r="I10" s="42">
        <v>3919498</v>
      </c>
      <c r="J10" s="42">
        <v>2204720</v>
      </c>
      <c r="K10" s="42">
        <v>0</v>
      </c>
      <c r="L10" s="42">
        <v>0</v>
      </c>
      <c r="M10" s="42">
        <v>4971980</v>
      </c>
      <c r="N10" s="53">
        <f>16472892-H10</f>
        <v>5376694</v>
      </c>
      <c r="O10" s="14" t="s">
        <v>98</v>
      </c>
      <c r="P10" s="12"/>
    </row>
    <row r="11" spans="1:16" ht="14.25" customHeight="1" x14ac:dyDescent="0.25">
      <c r="A11" s="148"/>
      <c r="B11" s="94" t="s">
        <v>107</v>
      </c>
      <c r="C11" s="95"/>
      <c r="D11" s="86" t="s">
        <v>12</v>
      </c>
      <c r="E11" s="50" t="s">
        <v>45</v>
      </c>
      <c r="F11" s="87" t="s">
        <v>46</v>
      </c>
      <c r="G11" s="87" t="s">
        <v>48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16" t="s">
        <v>102</v>
      </c>
      <c r="P11" s="12"/>
    </row>
    <row r="12" spans="1:16" x14ac:dyDescent="0.25">
      <c r="A12" s="148"/>
      <c r="B12" s="96" t="s">
        <v>105</v>
      </c>
      <c r="C12" s="96"/>
      <c r="D12" s="90" t="s">
        <v>12</v>
      </c>
      <c r="E12" s="88" t="s">
        <v>45</v>
      </c>
      <c r="F12" s="88" t="s">
        <v>46</v>
      </c>
      <c r="G12" s="50" t="s">
        <v>48</v>
      </c>
      <c r="H12" s="42">
        <v>250000</v>
      </c>
      <c r="I12" s="42">
        <v>80000</v>
      </c>
      <c r="J12" s="42">
        <v>45000</v>
      </c>
      <c r="K12" s="42">
        <v>0</v>
      </c>
      <c r="L12" s="42">
        <v>0</v>
      </c>
      <c r="M12" s="42">
        <v>125000</v>
      </c>
      <c r="N12" s="53">
        <f>302500-H12</f>
        <v>52500</v>
      </c>
      <c r="O12" s="14" t="s">
        <v>99</v>
      </c>
      <c r="P12" s="12"/>
    </row>
    <row r="13" spans="1:16" x14ac:dyDescent="0.25">
      <c r="A13" s="148"/>
      <c r="B13" s="96" t="s">
        <v>106</v>
      </c>
      <c r="C13" s="96"/>
      <c r="D13" s="90" t="s">
        <v>12</v>
      </c>
      <c r="E13" s="88" t="s">
        <v>45</v>
      </c>
      <c r="F13" s="88" t="s">
        <v>46</v>
      </c>
      <c r="G13" s="50" t="s">
        <v>48</v>
      </c>
      <c r="H13" s="73">
        <v>4640141</v>
      </c>
      <c r="I13" s="73">
        <v>1336355</v>
      </c>
      <c r="J13" s="42">
        <v>751706</v>
      </c>
      <c r="K13" s="42">
        <v>0</v>
      </c>
      <c r="L13" s="42">
        <v>0</v>
      </c>
      <c r="M13" s="42">
        <v>2552080</v>
      </c>
      <c r="N13" s="53">
        <f>8674383-H13</f>
        <v>4034242</v>
      </c>
      <c r="O13" s="14" t="s">
        <v>100</v>
      </c>
      <c r="P13" s="12"/>
    </row>
    <row r="14" spans="1:16" ht="14.25" customHeight="1" x14ac:dyDescent="0.25">
      <c r="A14" s="148" t="s">
        <v>21</v>
      </c>
      <c r="B14" s="96" t="s">
        <v>22</v>
      </c>
      <c r="C14" s="96"/>
      <c r="D14" s="90" t="s">
        <v>20</v>
      </c>
      <c r="E14" s="103">
        <v>2</v>
      </c>
      <c r="F14" s="88" t="s">
        <v>49</v>
      </c>
      <c r="G14" s="50" t="s">
        <v>50</v>
      </c>
      <c r="H14" s="42">
        <f>2940*1000</f>
        <v>2940000</v>
      </c>
      <c r="I14" s="42">
        <f>2499*1000</f>
        <v>2499000</v>
      </c>
      <c r="J14" s="42">
        <f>147*1000</f>
        <v>147000</v>
      </c>
      <c r="K14" s="42">
        <f>73.5*1000</f>
        <v>73500</v>
      </c>
      <c r="L14" s="42">
        <f>220.5*1000</f>
        <v>220500</v>
      </c>
      <c r="M14" s="53">
        <v>0</v>
      </c>
      <c r="N14" s="53">
        <v>0</v>
      </c>
      <c r="P14" s="12"/>
    </row>
    <row r="15" spans="1:16" x14ac:dyDescent="0.25">
      <c r="A15" s="148"/>
      <c r="B15" s="96" t="s">
        <v>23</v>
      </c>
      <c r="C15" s="96"/>
      <c r="D15" s="90" t="s">
        <v>10</v>
      </c>
      <c r="E15" s="104">
        <v>4</v>
      </c>
      <c r="F15" s="105" t="s">
        <v>40</v>
      </c>
      <c r="G15" s="50" t="s">
        <v>41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53">
        <v>0</v>
      </c>
      <c r="N15" s="53">
        <v>0</v>
      </c>
      <c r="P15" s="12"/>
    </row>
    <row r="16" spans="1:16" x14ac:dyDescent="0.25">
      <c r="A16" s="148"/>
      <c r="B16" s="96" t="s">
        <v>51</v>
      </c>
      <c r="C16" s="96"/>
      <c r="D16" s="90" t="s">
        <v>20</v>
      </c>
      <c r="E16" s="103">
        <v>2</v>
      </c>
      <c r="F16" s="88" t="s">
        <v>49</v>
      </c>
      <c r="G16" s="50" t="s">
        <v>50</v>
      </c>
      <c r="H16" s="42">
        <v>1000000</v>
      </c>
      <c r="I16" s="42">
        <f>850*1000</f>
        <v>850000</v>
      </c>
      <c r="J16" s="42">
        <f>72.31*1000</f>
        <v>72310</v>
      </c>
      <c r="K16" s="42">
        <f>36.15*1000</f>
        <v>36150</v>
      </c>
      <c r="L16" s="42">
        <f>41.54*1000</f>
        <v>41540</v>
      </c>
      <c r="M16" s="53">
        <v>0</v>
      </c>
      <c r="N16" s="53">
        <v>0</v>
      </c>
      <c r="P16" s="12"/>
    </row>
    <row r="17" spans="1:16" s="18" customFormat="1" ht="14.25" hidden="1" x14ac:dyDescent="0.25">
      <c r="A17" s="148"/>
      <c r="B17" s="98" t="s">
        <v>52</v>
      </c>
      <c r="C17" s="98"/>
      <c r="D17" s="89" t="s">
        <v>20</v>
      </c>
      <c r="E17" s="89">
        <v>2</v>
      </c>
      <c r="F17" s="51" t="s">
        <v>49</v>
      </c>
      <c r="G17" s="51" t="s">
        <v>50</v>
      </c>
      <c r="H17" s="44">
        <v>0</v>
      </c>
      <c r="I17" s="44">
        <v>0</v>
      </c>
      <c r="J17" s="44">
        <v>0</v>
      </c>
      <c r="K17" s="44">
        <v>0</v>
      </c>
      <c r="L17" s="44">
        <f>H17*0.15</f>
        <v>0</v>
      </c>
      <c r="M17" s="44"/>
      <c r="N17" s="44">
        <v>0</v>
      </c>
      <c r="P17" s="19"/>
    </row>
    <row r="18" spans="1:16" x14ac:dyDescent="0.25">
      <c r="A18" s="20" t="s">
        <v>24</v>
      </c>
      <c r="B18" s="99" t="s">
        <v>25</v>
      </c>
      <c r="C18" s="96"/>
      <c r="D18" s="90" t="s">
        <v>53</v>
      </c>
      <c r="E18" s="90">
        <v>4</v>
      </c>
      <c r="F18" s="90"/>
      <c r="G18" s="52" t="s">
        <v>54</v>
      </c>
      <c r="H18" s="47">
        <v>0</v>
      </c>
      <c r="I18" s="47">
        <v>0</v>
      </c>
      <c r="J18" s="47">
        <v>0</v>
      </c>
      <c r="K18" s="47">
        <f>H18*0.15</f>
        <v>0</v>
      </c>
      <c r="L18" s="47">
        <v>0</v>
      </c>
      <c r="M18" s="53">
        <v>0</v>
      </c>
      <c r="N18" s="47">
        <v>0</v>
      </c>
      <c r="P18" s="12"/>
    </row>
    <row r="19" spans="1:16" ht="14.25" customHeight="1" x14ac:dyDescent="0.25">
      <c r="A19" s="126" t="s">
        <v>14</v>
      </c>
      <c r="B19" s="126"/>
      <c r="C19" s="126"/>
      <c r="D19" s="126"/>
      <c r="E19" s="126"/>
      <c r="F19" s="3"/>
      <c r="G19" s="4"/>
      <c r="H19" s="4"/>
      <c r="I19" s="4"/>
      <c r="J19" s="4"/>
      <c r="K19" s="4"/>
      <c r="L19" s="4"/>
      <c r="M19" s="75"/>
      <c r="N19" s="4"/>
      <c r="P19" s="12"/>
    </row>
    <row r="21" spans="1:16" x14ac:dyDescent="0.25">
      <c r="A21" s="149" t="s">
        <v>92</v>
      </c>
      <c r="B21" s="149"/>
      <c r="C21" s="149"/>
      <c r="D21" s="149"/>
      <c r="E21" s="149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  <c r="L22" s="67"/>
    </row>
    <row r="23" spans="1:16" ht="14.25" customHeight="1" x14ac:dyDescent="0.25">
      <c r="A23" s="112" t="s">
        <v>27</v>
      </c>
      <c r="B23" s="9" t="s">
        <v>10</v>
      </c>
      <c r="C23" s="46">
        <f>SUM(I6:I8)+I15</f>
        <v>2045792.53</v>
      </c>
      <c r="D23" s="46">
        <v>0</v>
      </c>
      <c r="E23" s="46">
        <f t="shared" ref="E23:E28" si="0">C23+D23</f>
        <v>2045792.53</v>
      </c>
    </row>
    <row r="24" spans="1:16" x14ac:dyDescent="0.25">
      <c r="A24" s="112"/>
      <c r="B24" s="9" t="s">
        <v>13</v>
      </c>
      <c r="C24" s="46">
        <v>0</v>
      </c>
      <c r="D24" s="46">
        <v>0</v>
      </c>
      <c r="E24" s="46">
        <f t="shared" si="0"/>
        <v>0</v>
      </c>
    </row>
    <row r="25" spans="1:16" x14ac:dyDescent="0.25">
      <c r="A25" s="112"/>
      <c r="B25" s="4" t="s">
        <v>28</v>
      </c>
      <c r="C25" s="62">
        <f>C24+C23</f>
        <v>2045792.53</v>
      </c>
      <c r="D25" s="62">
        <f>SUM(D23:D24)</f>
        <v>0</v>
      </c>
      <c r="E25" s="62">
        <f>C25+D25</f>
        <v>2045792.53</v>
      </c>
    </row>
    <row r="26" spans="1:16" ht="14.25" customHeight="1" x14ac:dyDescent="0.25">
      <c r="A26" s="112" t="s">
        <v>29</v>
      </c>
      <c r="B26" s="9" t="s">
        <v>11</v>
      </c>
      <c r="C26" s="41">
        <f>I14+I16</f>
        <v>3349000</v>
      </c>
      <c r="D26" s="41">
        <f>J14+J16</f>
        <v>219310</v>
      </c>
      <c r="E26" s="41">
        <f t="shared" si="0"/>
        <v>3568310</v>
      </c>
    </row>
    <row r="27" spans="1:16" x14ac:dyDescent="0.25">
      <c r="A27" s="112"/>
      <c r="B27" s="4" t="s">
        <v>30</v>
      </c>
      <c r="C27" s="62">
        <f>C26</f>
        <v>3349000</v>
      </c>
      <c r="D27" s="62">
        <f t="shared" ref="D27:E27" si="1">D26</f>
        <v>219310</v>
      </c>
      <c r="E27" s="62">
        <f t="shared" si="1"/>
        <v>3568310</v>
      </c>
    </row>
    <row r="28" spans="1:16" ht="14.25" customHeight="1" x14ac:dyDescent="0.25">
      <c r="A28" s="112" t="s">
        <v>31</v>
      </c>
      <c r="B28" s="11" t="s">
        <v>12</v>
      </c>
      <c r="C28" s="41">
        <f>SUM(I9:I13)</f>
        <v>5335853</v>
      </c>
      <c r="D28" s="41">
        <f>SUM(J9:J13)</f>
        <v>3001426</v>
      </c>
      <c r="E28" s="46">
        <f t="shared" si="0"/>
        <v>8337279</v>
      </c>
    </row>
    <row r="29" spans="1:16" x14ac:dyDescent="0.25">
      <c r="A29" s="112"/>
      <c r="B29" s="4" t="s">
        <v>32</v>
      </c>
      <c r="C29" s="62">
        <f>C28</f>
        <v>5335853</v>
      </c>
      <c r="D29" s="62">
        <f t="shared" ref="D29:E29" si="2">D28</f>
        <v>3001426</v>
      </c>
      <c r="E29" s="62">
        <f t="shared" si="2"/>
        <v>8337279</v>
      </c>
    </row>
    <row r="30" spans="1:16" x14ac:dyDescent="0.25">
      <c r="A30" s="7" t="s">
        <v>33</v>
      </c>
      <c r="B30" s="4" t="s">
        <v>14</v>
      </c>
      <c r="C30" s="65">
        <f>C25+C27+C29</f>
        <v>10730645.530000001</v>
      </c>
      <c r="D30" s="65">
        <f>D25+D27+D29</f>
        <v>3220736</v>
      </c>
      <c r="E30" s="65">
        <f>C30+D30</f>
        <v>13951381.530000001</v>
      </c>
    </row>
    <row r="32" spans="1:16" x14ac:dyDescent="0.25">
      <c r="A32" s="141" t="s">
        <v>69</v>
      </c>
      <c r="B32" s="141"/>
      <c r="C32" s="141"/>
      <c r="D32" s="141"/>
      <c r="E32" s="141"/>
      <c r="F32" s="141"/>
      <c r="G32" s="141"/>
      <c r="H32" s="141"/>
      <c r="I32" s="141"/>
      <c r="J32" s="141"/>
    </row>
    <row r="33" spans="1:11" ht="15" customHeight="1" x14ac:dyDescent="0.25">
      <c r="A33" s="142" t="s">
        <v>56</v>
      </c>
      <c r="B33" s="142" t="s">
        <v>4</v>
      </c>
      <c r="C33" s="142" t="s">
        <v>5</v>
      </c>
      <c r="D33" s="142" t="s">
        <v>58</v>
      </c>
      <c r="E33" s="137" t="s">
        <v>81</v>
      </c>
      <c r="F33" s="138"/>
      <c r="G33" s="138"/>
      <c r="H33" s="138"/>
      <c r="I33" s="138"/>
      <c r="J33" s="139"/>
      <c r="K33" s="128" t="s">
        <v>82</v>
      </c>
    </row>
    <row r="34" spans="1:11" ht="14.25" customHeight="1" x14ac:dyDescent="0.25">
      <c r="A34" s="142"/>
      <c r="B34" s="142"/>
      <c r="C34" s="142"/>
      <c r="D34" s="142"/>
      <c r="E34" s="129" t="s">
        <v>7</v>
      </c>
      <c r="F34" s="130" t="s">
        <v>59</v>
      </c>
      <c r="G34" s="130"/>
      <c r="H34" s="131" t="s">
        <v>9</v>
      </c>
      <c r="I34" s="132"/>
      <c r="J34" s="133"/>
      <c r="K34" s="128"/>
    </row>
    <row r="35" spans="1:11" ht="14.25" customHeight="1" x14ac:dyDescent="0.25">
      <c r="A35" s="142"/>
      <c r="B35" s="142"/>
      <c r="C35" s="142"/>
      <c r="D35" s="142"/>
      <c r="E35" s="129"/>
      <c r="F35" s="130"/>
      <c r="G35" s="130"/>
      <c r="H35" s="134"/>
      <c r="I35" s="135"/>
      <c r="J35" s="136"/>
      <c r="K35" s="128"/>
    </row>
    <row r="36" spans="1:11" ht="51" x14ac:dyDescent="0.25">
      <c r="A36" s="142"/>
      <c r="B36" s="142"/>
      <c r="C36" s="142"/>
      <c r="D36" s="142"/>
      <c r="E36" s="129"/>
      <c r="F36" s="101" t="s">
        <v>60</v>
      </c>
      <c r="G36" s="102" t="s">
        <v>61</v>
      </c>
      <c r="H36" s="101" t="s">
        <v>62</v>
      </c>
      <c r="I36" s="101" t="s">
        <v>38</v>
      </c>
      <c r="J36" s="91" t="s">
        <v>109</v>
      </c>
      <c r="K36" s="128"/>
    </row>
    <row r="37" spans="1:11" x14ac:dyDescent="0.25">
      <c r="A37" s="29" t="s">
        <v>11</v>
      </c>
      <c r="B37" s="30">
        <v>2</v>
      </c>
      <c r="C37" s="31" t="s">
        <v>49</v>
      </c>
      <c r="D37" s="31" t="s">
        <v>50</v>
      </c>
      <c r="E37" s="49">
        <v>3940000</v>
      </c>
      <c r="F37" s="49">
        <f t="shared" ref="F37:I37" si="3">SUM(I14,I16,I17)</f>
        <v>3349000</v>
      </c>
      <c r="G37" s="49">
        <f t="shared" si="3"/>
        <v>219310</v>
      </c>
      <c r="H37" s="49">
        <f t="shared" si="3"/>
        <v>109650</v>
      </c>
      <c r="I37" s="49">
        <f t="shared" si="3"/>
        <v>262040</v>
      </c>
      <c r="J37" s="100">
        <v>0</v>
      </c>
      <c r="K37" s="49">
        <f>SUM(N14,N16,N17)</f>
        <v>0</v>
      </c>
    </row>
    <row r="38" spans="1:11" ht="14.25" customHeight="1" x14ac:dyDescent="0.25">
      <c r="A38" s="140" t="s">
        <v>12</v>
      </c>
      <c r="B38" s="32" t="s">
        <v>45</v>
      </c>
      <c r="C38" s="32" t="s">
        <v>46</v>
      </c>
      <c r="D38" s="32" t="s">
        <v>48</v>
      </c>
      <c r="E38" s="49">
        <f>SUM(H10,H12,H13+H11)</f>
        <v>15986339</v>
      </c>
      <c r="F38" s="49">
        <f>SUM(I10:I13)</f>
        <v>5335853</v>
      </c>
      <c r="G38" s="49">
        <f>SUM(J10:J13)</f>
        <v>3001426</v>
      </c>
      <c r="H38" s="49">
        <f t="shared" ref="H38:I38" si="4">SUM(K10,K12,K13)</f>
        <v>0</v>
      </c>
      <c r="I38" s="49">
        <f t="shared" si="4"/>
        <v>0</v>
      </c>
      <c r="J38" s="49">
        <f>SUM(M10:M13)</f>
        <v>7649060</v>
      </c>
      <c r="K38" s="49">
        <f>SUM(N10,N12,N13)</f>
        <v>9463436</v>
      </c>
    </row>
    <row r="39" spans="1:11" x14ac:dyDescent="0.25">
      <c r="A39" s="140"/>
      <c r="B39" s="32" t="s">
        <v>45</v>
      </c>
      <c r="C39" s="32" t="s">
        <v>46</v>
      </c>
      <c r="D39" s="32" t="s">
        <v>47</v>
      </c>
      <c r="E39" s="49">
        <f t="shared" ref="E39:I39" si="5">SUM(H9)</f>
        <v>0</v>
      </c>
      <c r="F39" s="49">
        <f t="shared" si="5"/>
        <v>0</v>
      </c>
      <c r="G39" s="49">
        <f t="shared" si="5"/>
        <v>0</v>
      </c>
      <c r="H39" s="49">
        <f t="shared" si="5"/>
        <v>0</v>
      </c>
      <c r="I39" s="49">
        <f t="shared" si="5"/>
        <v>0</v>
      </c>
      <c r="J39" s="100">
        <v>0</v>
      </c>
      <c r="K39" s="49">
        <f>SUM(N9)</f>
        <v>0</v>
      </c>
    </row>
    <row r="40" spans="1:11" x14ac:dyDescent="0.25">
      <c r="A40" s="29" t="s">
        <v>10</v>
      </c>
      <c r="B40" s="33">
        <v>4</v>
      </c>
      <c r="C40" s="33" t="s">
        <v>40</v>
      </c>
      <c r="D40" s="34" t="s">
        <v>41</v>
      </c>
      <c r="E40" s="49">
        <f t="shared" ref="E40:I40" si="6">SUM(H6,H7,H8,H15)</f>
        <v>2153465.83</v>
      </c>
      <c r="F40" s="49">
        <f t="shared" si="6"/>
        <v>2045792.53</v>
      </c>
      <c r="G40" s="49">
        <f t="shared" si="6"/>
        <v>0</v>
      </c>
      <c r="H40" s="49">
        <f t="shared" si="6"/>
        <v>107673.30000000005</v>
      </c>
      <c r="I40" s="49">
        <f t="shared" si="6"/>
        <v>0</v>
      </c>
      <c r="J40" s="100">
        <v>0</v>
      </c>
      <c r="K40" s="49">
        <f>SUM(N6,N7,N8,N15)</f>
        <v>0</v>
      </c>
    </row>
    <row r="41" spans="1:11" x14ac:dyDescent="0.25">
      <c r="A41" s="35" t="s">
        <v>13</v>
      </c>
      <c r="B41" s="11">
        <v>4</v>
      </c>
      <c r="C41" s="11"/>
      <c r="D41" s="36" t="s">
        <v>54</v>
      </c>
      <c r="E41" s="49">
        <f t="shared" ref="E41:I41" si="7">SUM(H18)</f>
        <v>0</v>
      </c>
      <c r="F41" s="49">
        <f t="shared" si="7"/>
        <v>0</v>
      </c>
      <c r="G41" s="49">
        <f t="shared" si="7"/>
        <v>0</v>
      </c>
      <c r="H41" s="49">
        <f t="shared" si="7"/>
        <v>0</v>
      </c>
      <c r="I41" s="49">
        <f t="shared" si="7"/>
        <v>0</v>
      </c>
      <c r="J41" s="100">
        <v>0</v>
      </c>
      <c r="K41" s="49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E33:J33"/>
    <mergeCell ref="H34:J35"/>
    <mergeCell ref="A10:A13"/>
    <mergeCell ref="A14:A17"/>
    <mergeCell ref="A19:E19"/>
    <mergeCell ref="A21:E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L41"/>
  <sheetViews>
    <sheetView topLeftCell="D13" zoomScaleNormal="100" workbookViewId="0">
      <selection activeCell="H9" sqref="H9:M15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1.7109375" style="8" customWidth="1"/>
    <col min="8" max="8" width="16.5703125" style="8" customWidth="1"/>
    <col min="9" max="9" width="14.28515625" style="8" customWidth="1"/>
    <col min="10" max="10" width="13.5703125" style="8" bestFit="1" customWidth="1"/>
    <col min="11" max="11" width="13.5703125" style="8" customWidth="1"/>
    <col min="12" max="12" width="11.85546875" style="8" customWidth="1"/>
    <col min="13" max="13" width="13.14062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24" t="s">
        <v>70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6" ht="14.25" customHeight="1" x14ac:dyDescent="0.25">
      <c r="A2" s="112" t="s">
        <v>0</v>
      </c>
      <c r="B2" s="112" t="s">
        <v>108</v>
      </c>
      <c r="C2" s="112" t="s">
        <v>1</v>
      </c>
      <c r="D2" s="112" t="s">
        <v>2</v>
      </c>
      <c r="E2" s="112"/>
      <c r="F2" s="112"/>
      <c r="G2" s="112"/>
      <c r="H2" s="113" t="s">
        <v>81</v>
      </c>
      <c r="I2" s="114"/>
      <c r="J2" s="114"/>
      <c r="K2" s="114"/>
      <c r="L2" s="114"/>
      <c r="M2" s="115"/>
      <c r="N2" s="112" t="s">
        <v>82</v>
      </c>
    </row>
    <row r="3" spans="1:16" ht="14.25" customHeight="1" x14ac:dyDescent="0.25">
      <c r="A3" s="112"/>
      <c r="B3" s="112"/>
      <c r="C3" s="112"/>
      <c r="D3" s="112"/>
      <c r="E3" s="112"/>
      <c r="F3" s="112"/>
      <c r="G3" s="112"/>
      <c r="H3" s="116"/>
      <c r="I3" s="117"/>
      <c r="J3" s="117"/>
      <c r="K3" s="117"/>
      <c r="L3" s="117"/>
      <c r="M3" s="118"/>
      <c r="N3" s="112"/>
    </row>
    <row r="4" spans="1:16" ht="14.25" customHeight="1" x14ac:dyDescent="0.25">
      <c r="A4" s="112"/>
      <c r="B4" s="112"/>
      <c r="C4" s="112"/>
      <c r="D4" s="119" t="s">
        <v>3</v>
      </c>
      <c r="E4" s="119" t="s">
        <v>4</v>
      </c>
      <c r="F4" s="119" t="s">
        <v>5</v>
      </c>
      <c r="G4" s="119" t="s">
        <v>6</v>
      </c>
      <c r="H4" s="120" t="s">
        <v>64</v>
      </c>
      <c r="I4" s="120" t="s">
        <v>8</v>
      </c>
      <c r="J4" s="120"/>
      <c r="K4" s="120" t="s">
        <v>9</v>
      </c>
      <c r="L4" s="120"/>
      <c r="M4" s="91"/>
      <c r="N4" s="112"/>
    </row>
    <row r="5" spans="1:16" ht="55.5" customHeight="1" x14ac:dyDescent="0.25">
      <c r="A5" s="112"/>
      <c r="B5" s="112"/>
      <c r="C5" s="112"/>
      <c r="D5" s="119"/>
      <c r="E5" s="119"/>
      <c r="F5" s="119"/>
      <c r="G5" s="119"/>
      <c r="H5" s="120"/>
      <c r="I5" s="91" t="s">
        <v>35</v>
      </c>
      <c r="J5" s="91" t="s">
        <v>36</v>
      </c>
      <c r="K5" s="91" t="s">
        <v>37</v>
      </c>
      <c r="L5" s="91" t="s">
        <v>38</v>
      </c>
      <c r="M5" s="91" t="s">
        <v>109</v>
      </c>
      <c r="N5" s="112"/>
    </row>
    <row r="6" spans="1:16" x14ac:dyDescent="0.25">
      <c r="A6" s="5" t="s">
        <v>15</v>
      </c>
      <c r="B6" s="94" t="s">
        <v>16</v>
      </c>
      <c r="C6" s="94"/>
      <c r="D6" s="90" t="s">
        <v>10</v>
      </c>
      <c r="E6" s="84">
        <v>4</v>
      </c>
      <c r="F6" s="85" t="s">
        <v>40</v>
      </c>
      <c r="G6" s="52" t="s">
        <v>41</v>
      </c>
      <c r="H6" s="53">
        <v>8079262.5700000003</v>
      </c>
      <c r="I6" s="53">
        <v>7675299.4400000004</v>
      </c>
      <c r="J6" s="53">
        <v>0</v>
      </c>
      <c r="K6" s="53">
        <f>H6-I6</f>
        <v>403963.12999999989</v>
      </c>
      <c r="L6" s="53">
        <v>0</v>
      </c>
      <c r="M6" s="53">
        <v>0</v>
      </c>
      <c r="N6" s="53">
        <v>0</v>
      </c>
      <c r="P6" s="12"/>
    </row>
    <row r="7" spans="1:16" ht="14.25" customHeight="1" x14ac:dyDescent="0.25">
      <c r="A7" s="5" t="s">
        <v>17</v>
      </c>
      <c r="B7" s="94" t="s">
        <v>18</v>
      </c>
      <c r="C7" s="94"/>
      <c r="D7" s="90" t="s">
        <v>10</v>
      </c>
      <c r="E7" s="86">
        <v>4</v>
      </c>
      <c r="F7" s="87" t="s">
        <v>40</v>
      </c>
      <c r="G7" s="52" t="s">
        <v>41</v>
      </c>
      <c r="H7" s="53">
        <v>12052070.4</v>
      </c>
      <c r="I7" s="53">
        <v>11449466.880000001</v>
      </c>
      <c r="J7" s="53">
        <v>0</v>
      </c>
      <c r="K7" s="53">
        <f>H7-I7</f>
        <v>602603.51999999955</v>
      </c>
      <c r="L7" s="53">
        <v>0</v>
      </c>
      <c r="M7" s="53">
        <v>0</v>
      </c>
      <c r="N7" s="53">
        <v>0</v>
      </c>
      <c r="P7" s="12"/>
    </row>
    <row r="8" spans="1:16" ht="14.25" customHeight="1" x14ac:dyDescent="0.25">
      <c r="A8" s="5" t="s">
        <v>42</v>
      </c>
      <c r="B8" s="94" t="s">
        <v>43</v>
      </c>
      <c r="C8" s="94"/>
      <c r="D8" s="90" t="s">
        <v>10</v>
      </c>
      <c r="E8" s="103">
        <v>4</v>
      </c>
      <c r="F8" s="88" t="s">
        <v>40</v>
      </c>
      <c r="G8" s="50" t="s">
        <v>41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53">
        <v>0</v>
      </c>
      <c r="N8" s="53">
        <v>0</v>
      </c>
      <c r="P8" s="12"/>
    </row>
    <row r="9" spans="1:16" x14ac:dyDescent="0.25">
      <c r="A9" s="5" t="s">
        <v>44</v>
      </c>
      <c r="B9" s="94" t="s">
        <v>103</v>
      </c>
      <c r="C9" s="94"/>
      <c r="D9" s="90" t="s">
        <v>12</v>
      </c>
      <c r="E9" s="88" t="s">
        <v>45</v>
      </c>
      <c r="F9" s="88" t="s">
        <v>46</v>
      </c>
      <c r="G9" s="50" t="s">
        <v>47</v>
      </c>
      <c r="H9" s="42">
        <f>SUM(I9+J9+K9+L9+M9)</f>
        <v>0</v>
      </c>
      <c r="I9" s="42">
        <v>0</v>
      </c>
      <c r="J9" s="42">
        <v>0</v>
      </c>
      <c r="K9" s="42">
        <v>0</v>
      </c>
      <c r="L9" s="42">
        <v>0</v>
      </c>
      <c r="M9" s="53">
        <v>0</v>
      </c>
      <c r="N9" s="53">
        <v>0</v>
      </c>
      <c r="O9" s="14" t="s">
        <v>101</v>
      </c>
      <c r="P9" s="12"/>
    </row>
    <row r="10" spans="1:16" ht="14.25" customHeight="1" x14ac:dyDescent="0.25">
      <c r="A10" s="148" t="s">
        <v>19</v>
      </c>
      <c r="B10" s="94" t="s">
        <v>104</v>
      </c>
      <c r="C10" s="94"/>
      <c r="D10" s="90" t="s">
        <v>12</v>
      </c>
      <c r="E10" s="88" t="s">
        <v>45</v>
      </c>
      <c r="F10" s="88" t="s">
        <v>46</v>
      </c>
      <c r="G10" s="50" t="s">
        <v>48</v>
      </c>
      <c r="H10" s="42">
        <f t="shared" ref="H10:H13" si="0">SUM(I10+J10+K10+L10+M10)</f>
        <v>1792970</v>
      </c>
      <c r="I10" s="42">
        <v>573750</v>
      </c>
      <c r="J10" s="42">
        <v>322735</v>
      </c>
      <c r="K10" s="42">
        <v>0</v>
      </c>
      <c r="L10" s="42">
        <v>0</v>
      </c>
      <c r="M10" s="42">
        <v>896485</v>
      </c>
      <c r="N10" s="53">
        <v>0</v>
      </c>
      <c r="O10" s="14" t="s">
        <v>98</v>
      </c>
      <c r="P10" s="12"/>
    </row>
    <row r="11" spans="1:16" ht="14.25" customHeight="1" x14ac:dyDescent="0.25">
      <c r="A11" s="148"/>
      <c r="B11" s="94" t="s">
        <v>107</v>
      </c>
      <c r="C11" s="95"/>
      <c r="D11" s="86" t="s">
        <v>12</v>
      </c>
      <c r="E11" s="50" t="s">
        <v>45</v>
      </c>
      <c r="F11" s="87" t="s">
        <v>46</v>
      </c>
      <c r="G11" s="87" t="s">
        <v>48</v>
      </c>
      <c r="H11" s="42">
        <f t="shared" si="0"/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16" t="s">
        <v>102</v>
      </c>
      <c r="P11" s="12"/>
    </row>
    <row r="12" spans="1:16" x14ac:dyDescent="0.25">
      <c r="A12" s="148"/>
      <c r="B12" s="96" t="s">
        <v>105</v>
      </c>
      <c r="C12" s="96"/>
      <c r="D12" s="90" t="s">
        <v>12</v>
      </c>
      <c r="E12" s="88" t="s">
        <v>45</v>
      </c>
      <c r="F12" s="88" t="s">
        <v>46</v>
      </c>
      <c r="G12" s="50" t="s">
        <v>48</v>
      </c>
      <c r="H12" s="42">
        <f t="shared" si="0"/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53">
        <v>0</v>
      </c>
      <c r="O12" s="14" t="s">
        <v>99</v>
      </c>
      <c r="P12" s="12"/>
    </row>
    <row r="13" spans="1:16" x14ac:dyDescent="0.25">
      <c r="A13" s="148"/>
      <c r="B13" s="96" t="s">
        <v>106</v>
      </c>
      <c r="C13" s="96"/>
      <c r="D13" s="90" t="s">
        <v>12</v>
      </c>
      <c r="E13" s="88" t="s">
        <v>45</v>
      </c>
      <c r="F13" s="88" t="s">
        <v>46</v>
      </c>
      <c r="G13" s="50" t="s">
        <v>48</v>
      </c>
      <c r="H13" s="42">
        <f t="shared" si="0"/>
        <v>346667</v>
      </c>
      <c r="I13" s="73">
        <v>99840</v>
      </c>
      <c r="J13" s="42">
        <v>56160</v>
      </c>
      <c r="K13" s="42">
        <v>0</v>
      </c>
      <c r="L13" s="42">
        <v>0</v>
      </c>
      <c r="M13" s="42">
        <v>190667</v>
      </c>
      <c r="N13" s="53">
        <v>0</v>
      </c>
      <c r="O13" s="14" t="s">
        <v>100</v>
      </c>
      <c r="P13" s="12"/>
    </row>
    <row r="14" spans="1:16" ht="14.25" customHeight="1" x14ac:dyDescent="0.25">
      <c r="A14" s="148" t="s">
        <v>21</v>
      </c>
      <c r="B14" s="96" t="s">
        <v>22</v>
      </c>
      <c r="C14" s="96"/>
      <c r="D14" s="90" t="s">
        <v>20</v>
      </c>
      <c r="E14" s="103">
        <v>2</v>
      </c>
      <c r="F14" s="88" t="s">
        <v>49</v>
      </c>
      <c r="G14" s="50" t="s">
        <v>50</v>
      </c>
      <c r="H14" s="47">
        <f>6929.09*1000</f>
        <v>6929090</v>
      </c>
      <c r="I14" s="47">
        <f>5889.73*1000</f>
        <v>5889730</v>
      </c>
      <c r="J14" s="47">
        <f>491.36*1000</f>
        <v>491360</v>
      </c>
      <c r="K14" s="47">
        <f>177.5*1000</f>
        <v>177500</v>
      </c>
      <c r="L14" s="47">
        <f>370.5*1000</f>
        <v>370500</v>
      </c>
      <c r="M14" s="53">
        <v>0</v>
      </c>
      <c r="N14" s="53">
        <v>0</v>
      </c>
      <c r="P14" s="12"/>
    </row>
    <row r="15" spans="1:16" x14ac:dyDescent="0.25">
      <c r="A15" s="148"/>
      <c r="B15" s="96" t="s">
        <v>23</v>
      </c>
      <c r="C15" s="96"/>
      <c r="D15" s="90" t="s">
        <v>10</v>
      </c>
      <c r="E15" s="104">
        <v>4</v>
      </c>
      <c r="F15" s="105" t="s">
        <v>40</v>
      </c>
      <c r="G15" s="50" t="s">
        <v>41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53">
        <v>0</v>
      </c>
      <c r="N15" s="53">
        <v>0</v>
      </c>
      <c r="P15" s="12"/>
    </row>
    <row r="16" spans="1:16" x14ac:dyDescent="0.25">
      <c r="A16" s="148"/>
      <c r="B16" s="96" t="s">
        <v>51</v>
      </c>
      <c r="C16" s="96"/>
      <c r="D16" s="90" t="s">
        <v>20</v>
      </c>
      <c r="E16" s="103">
        <v>2</v>
      </c>
      <c r="F16" s="88" t="s">
        <v>49</v>
      </c>
      <c r="G16" s="50" t="s">
        <v>50</v>
      </c>
      <c r="H16" s="42">
        <f>1000*1000</f>
        <v>1000000</v>
      </c>
      <c r="I16" s="42">
        <f>850*1000</f>
        <v>850000</v>
      </c>
      <c r="J16" s="42">
        <f>72.31*1000</f>
        <v>72310</v>
      </c>
      <c r="K16" s="42">
        <f>36.15*1000</f>
        <v>36150</v>
      </c>
      <c r="L16" s="42">
        <f>41.54*1000</f>
        <v>41540</v>
      </c>
      <c r="M16" s="53">
        <v>0</v>
      </c>
      <c r="N16" s="53">
        <v>0</v>
      </c>
      <c r="P16" s="12"/>
    </row>
    <row r="17" spans="1:16" s="18" customFormat="1" ht="14.25" hidden="1" x14ac:dyDescent="0.25">
      <c r="A17" s="148"/>
      <c r="B17" s="98"/>
      <c r="C17" s="98"/>
      <c r="D17" s="89"/>
      <c r="E17" s="89"/>
      <c r="F17" s="51"/>
      <c r="G17" s="51"/>
      <c r="H17" s="44"/>
      <c r="I17" s="44"/>
      <c r="J17" s="44"/>
      <c r="K17" s="44"/>
      <c r="L17" s="44"/>
      <c r="M17" s="44"/>
      <c r="N17" s="44"/>
      <c r="P17" s="19"/>
    </row>
    <row r="18" spans="1:16" x14ac:dyDescent="0.25">
      <c r="A18" s="20" t="s">
        <v>24</v>
      </c>
      <c r="B18" s="99" t="s">
        <v>25</v>
      </c>
      <c r="C18" s="96"/>
      <c r="D18" s="90" t="s">
        <v>53</v>
      </c>
      <c r="E18" s="90">
        <v>4</v>
      </c>
      <c r="F18" s="90"/>
      <c r="G18" s="52" t="s">
        <v>54</v>
      </c>
      <c r="H18" s="70">
        <f>2352.95*1000</f>
        <v>2352950</v>
      </c>
      <c r="I18" s="47">
        <f>2000*1000</f>
        <v>2000000</v>
      </c>
      <c r="J18" s="47">
        <v>0</v>
      </c>
      <c r="K18" s="70">
        <f>352.95*1000</f>
        <v>352950</v>
      </c>
      <c r="L18" s="47">
        <v>0</v>
      </c>
      <c r="M18" s="53">
        <v>0</v>
      </c>
      <c r="N18" s="47">
        <v>0</v>
      </c>
      <c r="P18" s="12"/>
    </row>
    <row r="19" spans="1:16" ht="14.25" customHeight="1" x14ac:dyDescent="0.25">
      <c r="A19" s="126" t="s">
        <v>14</v>
      </c>
      <c r="B19" s="126"/>
      <c r="C19" s="126"/>
      <c r="D19" s="126"/>
      <c r="E19" s="126"/>
      <c r="F19" s="3"/>
      <c r="G19" s="4"/>
      <c r="H19" s="4"/>
      <c r="I19" s="4"/>
      <c r="J19" s="4"/>
      <c r="K19" s="4"/>
      <c r="L19" s="4"/>
      <c r="M19" s="75"/>
      <c r="N19" s="4"/>
      <c r="P19" s="12"/>
    </row>
    <row r="21" spans="1:16" x14ac:dyDescent="0.25">
      <c r="A21" s="149" t="s">
        <v>93</v>
      </c>
      <c r="B21" s="149"/>
      <c r="C21" s="149"/>
      <c r="D21" s="149"/>
      <c r="E21" s="149"/>
      <c r="H21" s="80"/>
      <c r="I21" s="81"/>
      <c r="J21" s="81"/>
      <c r="K21" s="79"/>
      <c r="L21" s="79"/>
      <c r="M21" s="80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  <c r="H22" s="80"/>
      <c r="I22" s="80"/>
      <c r="J22" s="80"/>
      <c r="K22" s="80"/>
      <c r="L22" s="80"/>
      <c r="M22" s="80"/>
    </row>
    <row r="23" spans="1:16" ht="14.25" customHeight="1" x14ac:dyDescent="0.25">
      <c r="A23" s="112" t="s">
        <v>27</v>
      </c>
      <c r="B23" s="9" t="s">
        <v>10</v>
      </c>
      <c r="C23" s="46">
        <f>SUM(I6:I8)</f>
        <v>19124766.32</v>
      </c>
      <c r="D23" s="46">
        <v>0</v>
      </c>
      <c r="E23" s="46">
        <f t="shared" ref="E23:E30" si="1">C23+D23</f>
        <v>19124766.32</v>
      </c>
      <c r="H23" s="83"/>
      <c r="I23" s="83"/>
      <c r="J23" s="83"/>
      <c r="K23" s="83"/>
      <c r="L23" s="83"/>
      <c r="M23" s="83"/>
    </row>
    <row r="24" spans="1:16" x14ac:dyDescent="0.25">
      <c r="A24" s="112"/>
      <c r="B24" s="9" t="s">
        <v>13</v>
      </c>
      <c r="C24" s="46">
        <f>SUM((I18))</f>
        <v>2000000</v>
      </c>
      <c r="D24" s="46">
        <v>0</v>
      </c>
      <c r="E24" s="46">
        <f t="shared" si="1"/>
        <v>2000000</v>
      </c>
    </row>
    <row r="25" spans="1:16" x14ac:dyDescent="0.25">
      <c r="A25" s="112"/>
      <c r="B25" s="4" t="s">
        <v>28</v>
      </c>
      <c r="C25" s="62">
        <f>SUM(C23:C24)</f>
        <v>21124766.32</v>
      </c>
      <c r="D25" s="62">
        <f>SUM(D23:D24)</f>
        <v>0</v>
      </c>
      <c r="E25" s="62">
        <f t="shared" si="1"/>
        <v>21124766.32</v>
      </c>
    </row>
    <row r="26" spans="1:16" ht="14.25" customHeight="1" x14ac:dyDescent="0.25">
      <c r="A26" s="112" t="s">
        <v>29</v>
      </c>
      <c r="B26" s="48" t="s">
        <v>11</v>
      </c>
      <c r="C26" s="39">
        <f>SUM(I14+I16)</f>
        <v>6739730</v>
      </c>
      <c r="D26" s="39">
        <f>J14+J16</f>
        <v>563670</v>
      </c>
      <c r="E26" s="39">
        <f t="shared" si="1"/>
        <v>7303400</v>
      </c>
    </row>
    <row r="27" spans="1:16" x14ac:dyDescent="0.25">
      <c r="A27" s="112"/>
      <c r="B27" s="54" t="s">
        <v>30</v>
      </c>
      <c r="C27" s="39">
        <f>C26</f>
        <v>6739730</v>
      </c>
      <c r="D27" s="39">
        <f t="shared" ref="D27:E27" si="2">D26</f>
        <v>563670</v>
      </c>
      <c r="E27" s="39">
        <f t="shared" si="2"/>
        <v>7303400</v>
      </c>
    </row>
    <row r="28" spans="1:16" ht="14.25" customHeight="1" x14ac:dyDescent="0.25">
      <c r="A28" s="112" t="s">
        <v>31</v>
      </c>
      <c r="B28" s="11" t="s">
        <v>12</v>
      </c>
      <c r="C28" s="41">
        <f>SUM(I9:I13)</f>
        <v>673590</v>
      </c>
      <c r="D28" s="46">
        <f>SUM(J9:J13)</f>
        <v>378895</v>
      </c>
      <c r="E28" s="46">
        <f t="shared" si="1"/>
        <v>1052485</v>
      </c>
    </row>
    <row r="29" spans="1:16" x14ac:dyDescent="0.25">
      <c r="A29" s="112"/>
      <c r="B29" s="4" t="s">
        <v>32</v>
      </c>
      <c r="C29" s="62">
        <f>C28</f>
        <v>673590</v>
      </c>
      <c r="D29" s="62">
        <f t="shared" ref="D29:E29" si="3">D28</f>
        <v>378895</v>
      </c>
      <c r="E29" s="62">
        <f t="shared" si="3"/>
        <v>1052485</v>
      </c>
    </row>
    <row r="30" spans="1:16" x14ac:dyDescent="0.25">
      <c r="A30" s="7" t="s">
        <v>33</v>
      </c>
      <c r="B30" s="54" t="s">
        <v>14</v>
      </c>
      <c r="C30" s="64">
        <f>C25+C27+C29</f>
        <v>28538086.32</v>
      </c>
      <c r="D30" s="64">
        <f>D25+D27+D29</f>
        <v>942565</v>
      </c>
      <c r="E30" s="64">
        <f t="shared" si="1"/>
        <v>29480651.32</v>
      </c>
    </row>
    <row r="32" spans="1:16" x14ac:dyDescent="0.25">
      <c r="A32" s="141" t="s">
        <v>71</v>
      </c>
      <c r="B32" s="141"/>
      <c r="C32" s="141"/>
      <c r="D32" s="141"/>
      <c r="E32" s="141"/>
      <c r="F32" s="141"/>
      <c r="G32" s="141"/>
      <c r="H32" s="141"/>
      <c r="I32" s="141"/>
      <c r="J32" s="141"/>
    </row>
    <row r="33" spans="1:11" ht="15" customHeight="1" x14ac:dyDescent="0.25">
      <c r="A33" s="142" t="s">
        <v>56</v>
      </c>
      <c r="B33" s="142" t="s">
        <v>4</v>
      </c>
      <c r="C33" s="142" t="s">
        <v>5</v>
      </c>
      <c r="D33" s="142" t="s">
        <v>58</v>
      </c>
      <c r="E33" s="137" t="s">
        <v>84</v>
      </c>
      <c r="F33" s="138"/>
      <c r="G33" s="138"/>
      <c r="H33" s="138"/>
      <c r="I33" s="138"/>
      <c r="J33" s="139"/>
      <c r="K33" s="128" t="s">
        <v>82</v>
      </c>
    </row>
    <row r="34" spans="1:11" ht="14.25" customHeight="1" x14ac:dyDescent="0.25">
      <c r="A34" s="142"/>
      <c r="B34" s="142"/>
      <c r="C34" s="142"/>
      <c r="D34" s="142"/>
      <c r="E34" s="129" t="s">
        <v>7</v>
      </c>
      <c r="F34" s="130" t="s">
        <v>59</v>
      </c>
      <c r="G34" s="130"/>
      <c r="H34" s="131" t="s">
        <v>9</v>
      </c>
      <c r="I34" s="132"/>
      <c r="J34" s="133"/>
      <c r="K34" s="128"/>
    </row>
    <row r="35" spans="1:11" ht="14.25" customHeight="1" x14ac:dyDescent="0.25">
      <c r="A35" s="142"/>
      <c r="B35" s="142"/>
      <c r="C35" s="142"/>
      <c r="D35" s="142"/>
      <c r="E35" s="129"/>
      <c r="F35" s="130"/>
      <c r="G35" s="130"/>
      <c r="H35" s="134"/>
      <c r="I35" s="135"/>
      <c r="J35" s="136"/>
      <c r="K35" s="128"/>
    </row>
    <row r="36" spans="1:11" ht="51" x14ac:dyDescent="0.25">
      <c r="A36" s="142"/>
      <c r="B36" s="142"/>
      <c r="C36" s="142"/>
      <c r="D36" s="142"/>
      <c r="E36" s="129"/>
      <c r="F36" s="101" t="s">
        <v>60</v>
      </c>
      <c r="G36" s="102" t="s">
        <v>61</v>
      </c>
      <c r="H36" s="101" t="s">
        <v>62</v>
      </c>
      <c r="I36" s="101" t="s">
        <v>38</v>
      </c>
      <c r="J36" s="91" t="s">
        <v>109</v>
      </c>
      <c r="K36" s="128"/>
    </row>
    <row r="37" spans="1:11" x14ac:dyDescent="0.25">
      <c r="A37" s="29" t="s">
        <v>11</v>
      </c>
      <c r="B37" s="30">
        <v>2</v>
      </c>
      <c r="C37" s="31" t="s">
        <v>49</v>
      </c>
      <c r="D37" s="31" t="s">
        <v>50</v>
      </c>
      <c r="E37" s="40">
        <v>7929090</v>
      </c>
      <c r="F37" s="40">
        <f t="shared" ref="F37:I37" si="4">SUM(I14,I16,I17)</f>
        <v>6739730</v>
      </c>
      <c r="G37" s="40">
        <f t="shared" si="4"/>
        <v>563670</v>
      </c>
      <c r="H37" s="40">
        <f t="shared" si="4"/>
        <v>213650</v>
      </c>
      <c r="I37" s="40">
        <f t="shared" si="4"/>
        <v>412040</v>
      </c>
      <c r="J37" s="100">
        <v>0</v>
      </c>
      <c r="K37" s="49">
        <f>SUM(N14,N16,N17)</f>
        <v>0</v>
      </c>
    </row>
    <row r="38" spans="1:11" ht="14.25" customHeight="1" x14ac:dyDescent="0.25">
      <c r="A38" s="140" t="s">
        <v>12</v>
      </c>
      <c r="B38" s="32" t="s">
        <v>45</v>
      </c>
      <c r="C38" s="32" t="s">
        <v>46</v>
      </c>
      <c r="D38" s="32" t="s">
        <v>48</v>
      </c>
      <c r="E38" s="49">
        <f>SUM(H10:H13)</f>
        <v>2139637</v>
      </c>
      <c r="F38" s="49">
        <f>SUM(I10:I13)</f>
        <v>673590</v>
      </c>
      <c r="G38" s="49">
        <f>SUM(J10:J13)</f>
        <v>378895</v>
      </c>
      <c r="H38" s="49">
        <f t="shared" ref="H38:I38" si="5">SUM(K10,K12,K13)</f>
        <v>0</v>
      </c>
      <c r="I38" s="49">
        <f t="shared" si="5"/>
        <v>0</v>
      </c>
      <c r="J38" s="49">
        <f>SUM(M10:M13)</f>
        <v>1087152</v>
      </c>
      <c r="K38" s="49">
        <f>SUM(N10,N12,N13)</f>
        <v>0</v>
      </c>
    </row>
    <row r="39" spans="1:11" x14ac:dyDescent="0.25">
      <c r="A39" s="140"/>
      <c r="B39" s="32" t="s">
        <v>45</v>
      </c>
      <c r="C39" s="32" t="s">
        <v>46</v>
      </c>
      <c r="D39" s="32" t="s">
        <v>47</v>
      </c>
      <c r="E39" s="49">
        <f t="shared" ref="E39:I39" si="6">SUM(H9)</f>
        <v>0</v>
      </c>
      <c r="F39" s="49">
        <f t="shared" si="6"/>
        <v>0</v>
      </c>
      <c r="G39" s="49">
        <f t="shared" si="6"/>
        <v>0</v>
      </c>
      <c r="H39" s="49">
        <f t="shared" si="6"/>
        <v>0</v>
      </c>
      <c r="I39" s="49">
        <f t="shared" si="6"/>
        <v>0</v>
      </c>
      <c r="J39" s="100">
        <v>0</v>
      </c>
      <c r="K39" s="49">
        <f>SUM(N9)</f>
        <v>0</v>
      </c>
    </row>
    <row r="40" spans="1:11" x14ac:dyDescent="0.25">
      <c r="A40" s="29" t="s">
        <v>10</v>
      </c>
      <c r="B40" s="33">
        <v>4</v>
      </c>
      <c r="C40" s="33" t="s">
        <v>40</v>
      </c>
      <c r="D40" s="34" t="s">
        <v>41</v>
      </c>
      <c r="E40" s="49">
        <f t="shared" ref="E40:I40" si="7">SUM(H6,H7,H8,H15)</f>
        <v>20131332.969999999</v>
      </c>
      <c r="F40" s="49">
        <f t="shared" si="7"/>
        <v>19124766.32</v>
      </c>
      <c r="G40" s="49">
        <f t="shared" si="7"/>
        <v>0</v>
      </c>
      <c r="H40" s="49">
        <f t="shared" si="7"/>
        <v>1006566.6499999994</v>
      </c>
      <c r="I40" s="49">
        <f t="shared" si="7"/>
        <v>0</v>
      </c>
      <c r="J40" s="100">
        <v>0</v>
      </c>
      <c r="K40" s="49">
        <f>SUM(N6,N7,N8,N15)</f>
        <v>0</v>
      </c>
    </row>
    <row r="41" spans="1:11" x14ac:dyDescent="0.25">
      <c r="A41" s="35" t="s">
        <v>13</v>
      </c>
      <c r="B41" s="11">
        <v>4</v>
      </c>
      <c r="C41" s="11"/>
      <c r="D41" s="36" t="s">
        <v>54</v>
      </c>
      <c r="E41" s="49">
        <f t="shared" ref="E41:I41" si="8">SUM(H18)</f>
        <v>2352950</v>
      </c>
      <c r="F41" s="49">
        <f t="shared" si="8"/>
        <v>2000000</v>
      </c>
      <c r="G41" s="49">
        <f t="shared" si="8"/>
        <v>0</v>
      </c>
      <c r="H41" s="49">
        <f t="shared" si="8"/>
        <v>352950</v>
      </c>
      <c r="I41" s="49">
        <f t="shared" si="8"/>
        <v>0</v>
      </c>
      <c r="J41" s="100">
        <v>0</v>
      </c>
      <c r="K41" s="49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E33:J33"/>
    <mergeCell ref="H34:J35"/>
    <mergeCell ref="A10:A13"/>
    <mergeCell ref="A14:A17"/>
    <mergeCell ref="A19:E19"/>
    <mergeCell ref="A21:E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L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L41"/>
  <sheetViews>
    <sheetView topLeftCell="B13" zoomScaleNormal="100" workbookViewId="0">
      <selection activeCell="H9" sqref="H9:M15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2.28515625" style="8" customWidth="1"/>
    <col min="8" max="8" width="16.42578125" style="8" customWidth="1"/>
    <col min="9" max="9" width="14.7109375" style="8" customWidth="1"/>
    <col min="10" max="10" width="13.5703125" style="8" bestFit="1" customWidth="1"/>
    <col min="11" max="11" width="13.5703125" style="8" customWidth="1"/>
    <col min="12" max="12" width="11.85546875" style="8" customWidth="1"/>
    <col min="13" max="13" width="14.71093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24" t="s">
        <v>72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6" ht="14.25" customHeight="1" x14ac:dyDescent="0.25">
      <c r="A2" s="112" t="s">
        <v>0</v>
      </c>
      <c r="B2" s="112" t="s">
        <v>108</v>
      </c>
      <c r="C2" s="112" t="s">
        <v>1</v>
      </c>
      <c r="D2" s="112" t="s">
        <v>2</v>
      </c>
      <c r="E2" s="112"/>
      <c r="F2" s="112"/>
      <c r="G2" s="112"/>
      <c r="H2" s="113" t="s">
        <v>81</v>
      </c>
      <c r="I2" s="114"/>
      <c r="J2" s="114"/>
      <c r="K2" s="114"/>
      <c r="L2" s="114"/>
      <c r="M2" s="115"/>
      <c r="N2" s="112" t="s">
        <v>82</v>
      </c>
    </row>
    <row r="3" spans="1:16" ht="14.25" customHeight="1" x14ac:dyDescent="0.25">
      <c r="A3" s="112"/>
      <c r="B3" s="112"/>
      <c r="C3" s="112"/>
      <c r="D3" s="112"/>
      <c r="E3" s="112"/>
      <c r="F3" s="112"/>
      <c r="G3" s="112"/>
      <c r="H3" s="116"/>
      <c r="I3" s="117"/>
      <c r="J3" s="117"/>
      <c r="K3" s="117"/>
      <c r="L3" s="117"/>
      <c r="M3" s="118"/>
      <c r="N3" s="112"/>
    </row>
    <row r="4" spans="1:16" ht="14.25" customHeight="1" x14ac:dyDescent="0.25">
      <c r="A4" s="112"/>
      <c r="B4" s="112"/>
      <c r="C4" s="112"/>
      <c r="D4" s="119" t="s">
        <v>3</v>
      </c>
      <c r="E4" s="119" t="s">
        <v>4</v>
      </c>
      <c r="F4" s="119" t="s">
        <v>5</v>
      </c>
      <c r="G4" s="119" t="s">
        <v>6</v>
      </c>
      <c r="H4" s="120" t="s">
        <v>64</v>
      </c>
      <c r="I4" s="120" t="s">
        <v>8</v>
      </c>
      <c r="J4" s="120"/>
      <c r="K4" s="121" t="s">
        <v>9</v>
      </c>
      <c r="L4" s="122"/>
      <c r="M4" s="123"/>
      <c r="N4" s="112"/>
    </row>
    <row r="5" spans="1:16" ht="55.5" customHeight="1" x14ac:dyDescent="0.25">
      <c r="A5" s="112"/>
      <c r="B5" s="112"/>
      <c r="C5" s="112"/>
      <c r="D5" s="119"/>
      <c r="E5" s="119"/>
      <c r="F5" s="119"/>
      <c r="G5" s="119"/>
      <c r="H5" s="120"/>
      <c r="I5" s="91" t="s">
        <v>35</v>
      </c>
      <c r="J5" s="91" t="s">
        <v>36</v>
      </c>
      <c r="K5" s="91" t="s">
        <v>37</v>
      </c>
      <c r="L5" s="91" t="s">
        <v>38</v>
      </c>
      <c r="M5" s="91" t="s">
        <v>109</v>
      </c>
      <c r="N5" s="112"/>
    </row>
    <row r="6" spans="1:16" x14ac:dyDescent="0.25">
      <c r="A6" s="5" t="s">
        <v>15</v>
      </c>
      <c r="B6" s="94" t="s">
        <v>16</v>
      </c>
      <c r="C6" s="94"/>
      <c r="D6" s="90" t="s">
        <v>10</v>
      </c>
      <c r="E6" s="84">
        <v>4</v>
      </c>
      <c r="F6" s="85" t="s">
        <v>40</v>
      </c>
      <c r="G6" s="52" t="s">
        <v>41</v>
      </c>
      <c r="H6" s="42">
        <v>11884620.039999999</v>
      </c>
      <c r="I6" s="42">
        <v>11290389.029999999</v>
      </c>
      <c r="J6" s="42">
        <v>0</v>
      </c>
      <c r="K6" s="42">
        <f>H6-I6</f>
        <v>594231.00999999978</v>
      </c>
      <c r="L6" s="53">
        <v>0</v>
      </c>
      <c r="M6" s="53">
        <v>0</v>
      </c>
      <c r="N6" s="53">
        <v>0</v>
      </c>
      <c r="P6" s="12"/>
    </row>
    <row r="7" spans="1:16" ht="14.25" customHeight="1" x14ac:dyDescent="0.25">
      <c r="A7" s="5" t="s">
        <v>17</v>
      </c>
      <c r="B7" s="94" t="s">
        <v>18</v>
      </c>
      <c r="C7" s="94"/>
      <c r="D7" s="90" t="s">
        <v>10</v>
      </c>
      <c r="E7" s="86">
        <v>4</v>
      </c>
      <c r="F7" s="87" t="s">
        <v>40</v>
      </c>
      <c r="G7" s="52" t="s">
        <v>41</v>
      </c>
      <c r="H7" s="42">
        <v>0</v>
      </c>
      <c r="I7" s="42">
        <v>0</v>
      </c>
      <c r="J7" s="42">
        <v>0</v>
      </c>
      <c r="K7" s="42">
        <f t="shared" ref="K7" si="0">H7-I7</f>
        <v>0</v>
      </c>
      <c r="L7" s="53">
        <v>0</v>
      </c>
      <c r="M7" s="53">
        <v>0</v>
      </c>
      <c r="N7" s="53">
        <v>0</v>
      </c>
      <c r="P7" s="12"/>
    </row>
    <row r="8" spans="1:16" ht="14.25" customHeight="1" x14ac:dyDescent="0.25">
      <c r="A8" s="5" t="s">
        <v>42</v>
      </c>
      <c r="B8" s="94" t="s">
        <v>43</v>
      </c>
      <c r="C8" s="94"/>
      <c r="D8" s="90" t="s">
        <v>10</v>
      </c>
      <c r="E8" s="103">
        <v>4</v>
      </c>
      <c r="F8" s="88" t="s">
        <v>40</v>
      </c>
      <c r="G8" s="50" t="s">
        <v>41</v>
      </c>
      <c r="H8" s="42">
        <v>395670</v>
      </c>
      <c r="I8" s="42">
        <v>375886.5</v>
      </c>
      <c r="J8" s="42">
        <v>0</v>
      </c>
      <c r="K8" s="42">
        <v>0</v>
      </c>
      <c r="L8" s="42">
        <f>H8-I8</f>
        <v>19783.5</v>
      </c>
      <c r="M8" s="53">
        <v>0</v>
      </c>
      <c r="N8" s="53">
        <v>0</v>
      </c>
      <c r="P8" s="12"/>
    </row>
    <row r="9" spans="1:16" x14ac:dyDescent="0.25">
      <c r="A9" s="5" t="s">
        <v>44</v>
      </c>
      <c r="B9" s="94" t="s">
        <v>103</v>
      </c>
      <c r="C9" s="94"/>
      <c r="D9" s="90" t="s">
        <v>12</v>
      </c>
      <c r="E9" s="88" t="s">
        <v>45</v>
      </c>
      <c r="F9" s="88" t="s">
        <v>46</v>
      </c>
      <c r="G9" s="50" t="s">
        <v>47</v>
      </c>
      <c r="H9" s="42">
        <f>SUM(I9+J9+K9+L9+M9)</f>
        <v>0</v>
      </c>
      <c r="I9" s="42">
        <v>0</v>
      </c>
      <c r="J9" s="42">
        <v>0</v>
      </c>
      <c r="K9" s="42">
        <v>0</v>
      </c>
      <c r="L9" s="42">
        <v>0</v>
      </c>
      <c r="M9" s="53">
        <v>0</v>
      </c>
      <c r="N9" s="53">
        <v>0</v>
      </c>
      <c r="O9" s="14" t="s">
        <v>101</v>
      </c>
      <c r="P9" s="12"/>
    </row>
    <row r="10" spans="1:16" ht="14.25" customHeight="1" x14ac:dyDescent="0.25">
      <c r="A10" s="158" t="s">
        <v>19</v>
      </c>
      <c r="B10" s="94" t="s">
        <v>104</v>
      </c>
      <c r="C10" s="94"/>
      <c r="D10" s="90" t="s">
        <v>12</v>
      </c>
      <c r="E10" s="88" t="s">
        <v>45</v>
      </c>
      <c r="F10" s="88" t="s">
        <v>46</v>
      </c>
      <c r="G10" s="50" t="s">
        <v>48</v>
      </c>
      <c r="H10" s="42">
        <f t="shared" ref="H10:H13" si="1">SUM(I10+J10+K10+L10+M10)</f>
        <v>6705254</v>
      </c>
      <c r="I10" s="42">
        <v>2145681</v>
      </c>
      <c r="J10" s="42">
        <v>1206946</v>
      </c>
      <c r="K10" s="42">
        <v>0</v>
      </c>
      <c r="L10" s="42">
        <v>0</v>
      </c>
      <c r="M10" s="42">
        <v>3352627</v>
      </c>
      <c r="N10" s="53">
        <v>0</v>
      </c>
      <c r="O10" s="14" t="s">
        <v>98</v>
      </c>
      <c r="P10" s="12"/>
    </row>
    <row r="11" spans="1:16" ht="14.25" customHeight="1" x14ac:dyDescent="0.25">
      <c r="A11" s="159"/>
      <c r="B11" s="94" t="s">
        <v>107</v>
      </c>
      <c r="C11" s="95"/>
      <c r="D11" s="86" t="s">
        <v>12</v>
      </c>
      <c r="E11" s="50" t="s">
        <v>45</v>
      </c>
      <c r="F11" s="87" t="s">
        <v>46</v>
      </c>
      <c r="G11" s="87" t="s">
        <v>48</v>
      </c>
      <c r="H11" s="42">
        <f t="shared" si="1"/>
        <v>2250000</v>
      </c>
      <c r="I11" s="73">
        <v>1152000</v>
      </c>
      <c r="J11" s="73">
        <v>648000</v>
      </c>
      <c r="K11" s="73">
        <v>0</v>
      </c>
      <c r="L11" s="73">
        <v>0</v>
      </c>
      <c r="M11" s="73">
        <v>450000</v>
      </c>
      <c r="N11" s="73">
        <v>0</v>
      </c>
      <c r="O11" s="16" t="s">
        <v>102</v>
      </c>
      <c r="P11" s="12"/>
    </row>
    <row r="12" spans="1:16" x14ac:dyDescent="0.25">
      <c r="A12" s="159"/>
      <c r="B12" s="96" t="s">
        <v>105</v>
      </c>
      <c r="C12" s="96"/>
      <c r="D12" s="90" t="s">
        <v>12</v>
      </c>
      <c r="E12" s="88" t="s">
        <v>45</v>
      </c>
      <c r="F12" s="88" t="s">
        <v>46</v>
      </c>
      <c r="G12" s="50" t="s">
        <v>48</v>
      </c>
      <c r="H12" s="42">
        <f t="shared" si="1"/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53">
        <v>0</v>
      </c>
      <c r="O12" s="14" t="s">
        <v>99</v>
      </c>
      <c r="P12" s="12"/>
    </row>
    <row r="13" spans="1:16" x14ac:dyDescent="0.25">
      <c r="A13" s="160"/>
      <c r="B13" s="96" t="s">
        <v>106</v>
      </c>
      <c r="C13" s="96"/>
      <c r="D13" s="90" t="s">
        <v>12</v>
      </c>
      <c r="E13" s="88" t="s">
        <v>45</v>
      </c>
      <c r="F13" s="88" t="s">
        <v>46</v>
      </c>
      <c r="G13" s="50" t="s">
        <v>48</v>
      </c>
      <c r="H13" s="42">
        <f t="shared" si="1"/>
        <v>4048043</v>
      </c>
      <c r="I13" s="73">
        <v>1165836</v>
      </c>
      <c r="J13" s="42">
        <v>655783</v>
      </c>
      <c r="K13" s="42">
        <v>0</v>
      </c>
      <c r="L13" s="42">
        <v>0</v>
      </c>
      <c r="M13" s="42">
        <v>2226424</v>
      </c>
      <c r="N13" s="53">
        <v>0</v>
      </c>
      <c r="O13" s="14" t="s">
        <v>100</v>
      </c>
      <c r="P13" s="12"/>
    </row>
    <row r="14" spans="1:16" ht="14.25" customHeight="1" x14ac:dyDescent="0.25">
      <c r="A14" s="148" t="s">
        <v>21</v>
      </c>
      <c r="B14" s="96" t="s">
        <v>22</v>
      </c>
      <c r="C14" s="96"/>
      <c r="D14" s="90" t="s">
        <v>20</v>
      </c>
      <c r="E14" s="103">
        <v>2</v>
      </c>
      <c r="F14" s="88" t="s">
        <v>49</v>
      </c>
      <c r="G14" s="50" t="s">
        <v>50</v>
      </c>
      <c r="H14" s="47">
        <f>15770.91*1000</f>
        <v>15770910</v>
      </c>
      <c r="I14" s="47">
        <f>13405.27*1000</f>
        <v>13405270</v>
      </c>
      <c r="J14" s="47">
        <f>1309.64*1000</f>
        <v>1309640</v>
      </c>
      <c r="K14" s="47">
        <f>385.5*1000</f>
        <v>385500</v>
      </c>
      <c r="L14" s="47">
        <f>670.5*1000</f>
        <v>670500</v>
      </c>
      <c r="M14" s="53">
        <v>0</v>
      </c>
      <c r="N14" s="53">
        <v>0</v>
      </c>
      <c r="P14" s="12"/>
    </row>
    <row r="15" spans="1:16" x14ac:dyDescent="0.25">
      <c r="A15" s="148"/>
      <c r="B15" s="96" t="s">
        <v>23</v>
      </c>
      <c r="C15" s="96"/>
      <c r="D15" s="90" t="s">
        <v>10</v>
      </c>
      <c r="E15" s="104">
        <v>4</v>
      </c>
      <c r="F15" s="105" t="s">
        <v>40</v>
      </c>
      <c r="G15" s="50" t="s">
        <v>41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53">
        <v>0</v>
      </c>
      <c r="N15" s="53">
        <v>0</v>
      </c>
      <c r="P15" s="12"/>
    </row>
    <row r="16" spans="1:16" x14ac:dyDescent="0.25">
      <c r="A16" s="148"/>
      <c r="B16" s="96" t="s">
        <v>51</v>
      </c>
      <c r="C16" s="96"/>
      <c r="D16" s="90" t="s">
        <v>20</v>
      </c>
      <c r="E16" s="103">
        <v>2</v>
      </c>
      <c r="F16" s="88" t="s">
        <v>49</v>
      </c>
      <c r="G16" s="50" t="s">
        <v>50</v>
      </c>
      <c r="H16" s="47">
        <f>3133*1000</f>
        <v>3133000</v>
      </c>
      <c r="I16" s="47">
        <f>2663.05*1000</f>
        <v>2663050</v>
      </c>
      <c r="J16" s="47">
        <f>392.26*1000</f>
        <v>392260</v>
      </c>
      <c r="K16" s="42">
        <f>36.15*1000</f>
        <v>36150</v>
      </c>
      <c r="L16" s="42">
        <f>41.54*1000</f>
        <v>41540</v>
      </c>
      <c r="M16" s="53">
        <v>0</v>
      </c>
      <c r="N16" s="53">
        <v>0</v>
      </c>
      <c r="P16" s="12"/>
    </row>
    <row r="17" spans="1:16" s="18" customFormat="1" ht="14.25" hidden="1" x14ac:dyDescent="0.25">
      <c r="A17" s="148"/>
      <c r="B17" s="98" t="s">
        <v>52</v>
      </c>
      <c r="C17" s="98"/>
      <c r="D17" s="89" t="s">
        <v>20</v>
      </c>
      <c r="E17" s="89">
        <v>2</v>
      </c>
      <c r="F17" s="51" t="s">
        <v>49</v>
      </c>
      <c r="G17" s="51" t="s">
        <v>50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/>
      <c r="N17" s="44">
        <v>0</v>
      </c>
      <c r="P17" s="19"/>
    </row>
    <row r="18" spans="1:16" x14ac:dyDescent="0.25">
      <c r="A18" s="20" t="s">
        <v>24</v>
      </c>
      <c r="B18" s="99" t="s">
        <v>25</v>
      </c>
      <c r="C18" s="96"/>
      <c r="D18" s="90" t="s">
        <v>53</v>
      </c>
      <c r="E18" s="90">
        <v>4</v>
      </c>
      <c r="F18" s="90"/>
      <c r="G18" s="52" t="s">
        <v>54</v>
      </c>
      <c r="H18" s="47">
        <f>762.35*1000</f>
        <v>762350</v>
      </c>
      <c r="I18" s="47">
        <f>648*1000</f>
        <v>648000</v>
      </c>
      <c r="J18" s="47">
        <v>0</v>
      </c>
      <c r="K18" s="47">
        <f>114.35*1000</f>
        <v>114350</v>
      </c>
      <c r="L18" s="47">
        <v>0</v>
      </c>
      <c r="M18" s="53">
        <v>0</v>
      </c>
      <c r="N18" s="47">
        <v>0</v>
      </c>
      <c r="P18" s="12"/>
    </row>
    <row r="19" spans="1:16" ht="14.25" customHeight="1" x14ac:dyDescent="0.25">
      <c r="A19" s="126" t="s">
        <v>14</v>
      </c>
      <c r="B19" s="126"/>
      <c r="C19" s="126"/>
      <c r="D19" s="126"/>
      <c r="E19" s="126"/>
      <c r="F19" s="3"/>
      <c r="G19" s="4"/>
      <c r="H19" s="4"/>
      <c r="I19" s="4"/>
      <c r="J19" s="4"/>
      <c r="K19" s="4"/>
      <c r="L19" s="4"/>
      <c r="M19" s="75"/>
      <c r="N19" s="4"/>
      <c r="P19" s="12"/>
    </row>
    <row r="21" spans="1:16" x14ac:dyDescent="0.25">
      <c r="A21" s="149" t="s">
        <v>94</v>
      </c>
      <c r="B21" s="149"/>
      <c r="C21" s="149"/>
      <c r="D21" s="149"/>
      <c r="E21" s="149"/>
      <c r="G21" s="79"/>
      <c r="H21" s="83"/>
      <c r="I21" s="83"/>
      <c r="J21" s="83"/>
      <c r="K21" s="83"/>
      <c r="L21" s="83"/>
      <c r="M21" s="83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  <c r="G22" s="79"/>
      <c r="H22" s="80"/>
      <c r="I22" s="80"/>
      <c r="J22" s="80"/>
      <c r="K22" s="80"/>
      <c r="L22" s="80"/>
      <c r="M22" s="80"/>
    </row>
    <row r="23" spans="1:16" ht="14.25" customHeight="1" x14ac:dyDescent="0.25">
      <c r="A23" s="112" t="s">
        <v>27</v>
      </c>
      <c r="B23" s="9" t="s">
        <v>10</v>
      </c>
      <c r="C23" s="46">
        <f>SUM(I6:I8)</f>
        <v>11666275.529999999</v>
      </c>
      <c r="D23" s="46">
        <v>0</v>
      </c>
      <c r="E23" s="46">
        <f>C23+D23</f>
        <v>11666275.529999999</v>
      </c>
      <c r="G23" s="79"/>
      <c r="H23" s="82"/>
      <c r="I23" s="82"/>
      <c r="J23" s="82"/>
      <c r="K23" s="82"/>
      <c r="L23" s="82"/>
      <c r="M23" s="82"/>
    </row>
    <row r="24" spans="1:16" x14ac:dyDescent="0.25">
      <c r="A24" s="112"/>
      <c r="B24" s="9" t="s">
        <v>13</v>
      </c>
      <c r="C24" s="46">
        <f>SUM((I18))</f>
        <v>648000</v>
      </c>
      <c r="D24" s="46">
        <v>0</v>
      </c>
      <c r="E24" s="46">
        <f>C24+D24</f>
        <v>648000</v>
      </c>
      <c r="G24" s="79"/>
      <c r="H24" s="80"/>
      <c r="I24" s="80"/>
      <c r="J24" s="80"/>
      <c r="K24" s="79"/>
      <c r="L24" s="79"/>
      <c r="M24" s="79"/>
    </row>
    <row r="25" spans="1:16" x14ac:dyDescent="0.25">
      <c r="A25" s="112"/>
      <c r="B25" s="4" t="s">
        <v>28</v>
      </c>
      <c r="C25" s="63">
        <f>C23+C24</f>
        <v>12314275.529999999</v>
      </c>
      <c r="D25" s="63">
        <f t="shared" ref="D25:E25" si="2">D23+D24</f>
        <v>0</v>
      </c>
      <c r="E25" s="63">
        <f t="shared" si="2"/>
        <v>12314275.529999999</v>
      </c>
      <c r="G25" s="79"/>
      <c r="H25" s="80"/>
      <c r="I25" s="80"/>
      <c r="J25" s="80"/>
      <c r="K25" s="80"/>
      <c r="L25" s="80"/>
      <c r="M25" s="80"/>
    </row>
    <row r="26" spans="1:16" ht="14.25" customHeight="1" x14ac:dyDescent="0.25">
      <c r="A26" s="112" t="s">
        <v>29</v>
      </c>
      <c r="B26" s="55" t="s">
        <v>11</v>
      </c>
      <c r="C26" s="39">
        <f>I14+I16</f>
        <v>16068320</v>
      </c>
      <c r="D26" s="39">
        <f>J14+J16</f>
        <v>1701900</v>
      </c>
      <c r="E26" s="39">
        <f>C26+D26</f>
        <v>17770220</v>
      </c>
    </row>
    <row r="27" spans="1:16" x14ac:dyDescent="0.25">
      <c r="A27" s="112"/>
      <c r="B27" s="54" t="s">
        <v>30</v>
      </c>
      <c r="C27" s="39">
        <f>C26</f>
        <v>16068320</v>
      </c>
      <c r="D27" s="39">
        <f t="shared" ref="D27:E27" si="3">D26</f>
        <v>1701900</v>
      </c>
      <c r="E27" s="39">
        <f t="shared" si="3"/>
        <v>17770220</v>
      </c>
    </row>
    <row r="28" spans="1:16" ht="14.25" customHeight="1" x14ac:dyDescent="0.25">
      <c r="A28" s="112" t="s">
        <v>31</v>
      </c>
      <c r="B28" s="11" t="s">
        <v>12</v>
      </c>
      <c r="C28" s="41">
        <f>SUM(I9:I13)</f>
        <v>4463517</v>
      </c>
      <c r="D28" s="46">
        <f>SUM(J9:J13)</f>
        <v>2510729</v>
      </c>
      <c r="E28" s="46">
        <f>C28+D28</f>
        <v>6974246</v>
      </c>
    </row>
    <row r="29" spans="1:16" x14ac:dyDescent="0.25">
      <c r="A29" s="112"/>
      <c r="B29" s="4" t="s">
        <v>32</v>
      </c>
      <c r="C29" s="62">
        <f>C28</f>
        <v>4463517</v>
      </c>
      <c r="D29" s="62">
        <f t="shared" ref="D29:E29" si="4">D28</f>
        <v>2510729</v>
      </c>
      <c r="E29" s="62">
        <f t="shared" si="4"/>
        <v>6974246</v>
      </c>
    </row>
    <row r="30" spans="1:16" x14ac:dyDescent="0.25">
      <c r="A30" s="7" t="s">
        <v>33</v>
      </c>
      <c r="B30" s="54" t="s">
        <v>14</v>
      </c>
      <c r="C30" s="64">
        <f>C25+C27+C29</f>
        <v>32846112.530000001</v>
      </c>
      <c r="D30" s="64">
        <f>D25+D27+D29</f>
        <v>4212629</v>
      </c>
      <c r="E30" s="64">
        <f>E25+E27+E29</f>
        <v>37058741.530000001</v>
      </c>
    </row>
    <row r="32" spans="1:16" x14ac:dyDescent="0.25">
      <c r="A32" s="141" t="s">
        <v>73</v>
      </c>
      <c r="B32" s="141"/>
      <c r="C32" s="141"/>
      <c r="D32" s="141"/>
      <c r="E32" s="141"/>
      <c r="F32" s="141"/>
      <c r="G32" s="141"/>
      <c r="H32" s="141"/>
      <c r="I32" s="141"/>
      <c r="J32" s="141"/>
    </row>
    <row r="33" spans="1:11" ht="15" customHeight="1" x14ac:dyDescent="0.25">
      <c r="A33" s="142" t="s">
        <v>56</v>
      </c>
      <c r="B33" s="142" t="s">
        <v>4</v>
      </c>
      <c r="C33" s="142" t="s">
        <v>5</v>
      </c>
      <c r="D33" s="142" t="s">
        <v>58</v>
      </c>
      <c r="E33" s="137" t="s">
        <v>84</v>
      </c>
      <c r="F33" s="138"/>
      <c r="G33" s="138"/>
      <c r="H33" s="138"/>
      <c r="I33" s="138"/>
      <c r="J33" s="139"/>
      <c r="K33" s="128" t="s">
        <v>82</v>
      </c>
    </row>
    <row r="34" spans="1:11" ht="14.25" customHeight="1" x14ac:dyDescent="0.25">
      <c r="A34" s="142"/>
      <c r="B34" s="142"/>
      <c r="C34" s="142"/>
      <c r="D34" s="142"/>
      <c r="E34" s="129" t="s">
        <v>7</v>
      </c>
      <c r="F34" s="130" t="s">
        <v>59</v>
      </c>
      <c r="G34" s="130"/>
      <c r="H34" s="131" t="s">
        <v>9</v>
      </c>
      <c r="I34" s="132"/>
      <c r="J34" s="133"/>
      <c r="K34" s="128"/>
    </row>
    <row r="35" spans="1:11" ht="14.25" customHeight="1" x14ac:dyDescent="0.25">
      <c r="A35" s="142"/>
      <c r="B35" s="142"/>
      <c r="C35" s="142"/>
      <c r="D35" s="142"/>
      <c r="E35" s="129"/>
      <c r="F35" s="130"/>
      <c r="G35" s="130"/>
      <c r="H35" s="134"/>
      <c r="I35" s="135"/>
      <c r="J35" s="136"/>
      <c r="K35" s="128"/>
    </row>
    <row r="36" spans="1:11" ht="38.25" x14ac:dyDescent="0.25">
      <c r="A36" s="142"/>
      <c r="B36" s="142"/>
      <c r="C36" s="142"/>
      <c r="D36" s="142"/>
      <c r="E36" s="129"/>
      <c r="F36" s="101" t="s">
        <v>60</v>
      </c>
      <c r="G36" s="102" t="s">
        <v>61</v>
      </c>
      <c r="H36" s="101" t="s">
        <v>62</v>
      </c>
      <c r="I36" s="101" t="s">
        <v>38</v>
      </c>
      <c r="J36" s="91" t="s">
        <v>109</v>
      </c>
      <c r="K36" s="128"/>
    </row>
    <row r="37" spans="1:11" x14ac:dyDescent="0.25">
      <c r="A37" s="29" t="s">
        <v>11</v>
      </c>
      <c r="B37" s="30">
        <v>2</v>
      </c>
      <c r="C37" s="31" t="s">
        <v>49</v>
      </c>
      <c r="D37" s="31" t="s">
        <v>50</v>
      </c>
      <c r="E37" s="40">
        <v>18903910</v>
      </c>
      <c r="F37" s="40">
        <f t="shared" ref="F37:I37" si="5">SUM(I14,I16,I17)</f>
        <v>16068320</v>
      </c>
      <c r="G37" s="40">
        <f t="shared" si="5"/>
        <v>1701900</v>
      </c>
      <c r="H37" s="40">
        <f t="shared" si="5"/>
        <v>421650</v>
      </c>
      <c r="I37" s="40">
        <f t="shared" si="5"/>
        <v>712040</v>
      </c>
      <c r="J37" s="100">
        <v>0</v>
      </c>
      <c r="K37" s="49">
        <f>SUM(N14,N16,N17)</f>
        <v>0</v>
      </c>
    </row>
    <row r="38" spans="1:11" ht="14.25" customHeight="1" x14ac:dyDescent="0.25">
      <c r="A38" s="140" t="s">
        <v>12</v>
      </c>
      <c r="B38" s="32" t="s">
        <v>45</v>
      </c>
      <c r="C38" s="32" t="s">
        <v>46</v>
      </c>
      <c r="D38" s="32" t="s">
        <v>48</v>
      </c>
      <c r="E38" s="49">
        <f>SUM(H10:H13)</f>
        <v>13003297</v>
      </c>
      <c r="F38" s="49">
        <f>SUM(I10:I13)</f>
        <v>4463517</v>
      </c>
      <c r="G38" s="49">
        <f>SUM(J10:J13)</f>
        <v>2510729</v>
      </c>
      <c r="H38" s="49">
        <f t="shared" ref="H38:I38" si="6">SUM(K10,K12,K13)</f>
        <v>0</v>
      </c>
      <c r="I38" s="49">
        <f t="shared" si="6"/>
        <v>0</v>
      </c>
      <c r="J38" s="49">
        <f>SUM(M10:M13)</f>
        <v>6029051</v>
      </c>
      <c r="K38" s="49">
        <f>SUM(N10,N12,N13)</f>
        <v>0</v>
      </c>
    </row>
    <row r="39" spans="1:11" x14ac:dyDescent="0.25">
      <c r="A39" s="140"/>
      <c r="B39" s="32" t="s">
        <v>45</v>
      </c>
      <c r="C39" s="32" t="s">
        <v>46</v>
      </c>
      <c r="D39" s="32" t="s">
        <v>47</v>
      </c>
      <c r="E39" s="49">
        <f t="shared" ref="E39:I39" si="7">SUM(H9)</f>
        <v>0</v>
      </c>
      <c r="F39" s="49">
        <f t="shared" si="7"/>
        <v>0</v>
      </c>
      <c r="G39" s="49">
        <f t="shared" si="7"/>
        <v>0</v>
      </c>
      <c r="H39" s="49">
        <f t="shared" si="7"/>
        <v>0</v>
      </c>
      <c r="I39" s="49">
        <f t="shared" si="7"/>
        <v>0</v>
      </c>
      <c r="J39" s="100">
        <v>0</v>
      </c>
      <c r="K39" s="49">
        <f>SUM(N9)</f>
        <v>0</v>
      </c>
    </row>
    <row r="40" spans="1:11" x14ac:dyDescent="0.25">
      <c r="A40" s="29" t="s">
        <v>10</v>
      </c>
      <c r="B40" s="33">
        <v>4</v>
      </c>
      <c r="C40" s="33" t="s">
        <v>40</v>
      </c>
      <c r="D40" s="34" t="s">
        <v>41</v>
      </c>
      <c r="E40" s="49">
        <f t="shared" ref="E40:I40" si="8">SUM(H6,H7,H8,H15)</f>
        <v>12280290.039999999</v>
      </c>
      <c r="F40" s="49">
        <f t="shared" si="8"/>
        <v>11666275.529999999</v>
      </c>
      <c r="G40" s="49">
        <f t="shared" si="8"/>
        <v>0</v>
      </c>
      <c r="H40" s="49">
        <f t="shared" si="8"/>
        <v>594231.00999999978</v>
      </c>
      <c r="I40" s="49">
        <f t="shared" si="8"/>
        <v>19783.5</v>
      </c>
      <c r="J40" s="100">
        <v>0</v>
      </c>
      <c r="K40" s="49">
        <f>SUM(N6,N7,N8,N15)</f>
        <v>0</v>
      </c>
    </row>
    <row r="41" spans="1:11" x14ac:dyDescent="0.25">
      <c r="A41" s="35" t="s">
        <v>13</v>
      </c>
      <c r="B41" s="11">
        <v>4</v>
      </c>
      <c r="C41" s="11"/>
      <c r="D41" s="36" t="s">
        <v>54</v>
      </c>
      <c r="E41" s="49">
        <f t="shared" ref="E41:I41" si="9">SUM(H18)</f>
        <v>762350</v>
      </c>
      <c r="F41" s="49">
        <f t="shared" si="9"/>
        <v>648000</v>
      </c>
      <c r="G41" s="49">
        <f t="shared" si="9"/>
        <v>0</v>
      </c>
      <c r="H41" s="49">
        <f t="shared" si="9"/>
        <v>114350</v>
      </c>
      <c r="I41" s="49">
        <f t="shared" si="9"/>
        <v>0</v>
      </c>
      <c r="J41" s="100">
        <v>0</v>
      </c>
      <c r="K41" s="49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E33:J33"/>
    <mergeCell ref="H34:J35"/>
    <mergeCell ref="A10:A13"/>
    <mergeCell ref="A14:A17"/>
    <mergeCell ref="A19:E19"/>
    <mergeCell ref="A21:E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L41"/>
  <sheetViews>
    <sheetView topLeftCell="A10" zoomScaleNormal="100" workbookViewId="0">
      <selection activeCell="H8" sqref="H8:M16"/>
    </sheetView>
  </sheetViews>
  <sheetFormatPr defaultRowHeight="15" x14ac:dyDescent="0.25"/>
  <cols>
    <col min="1" max="1" width="20.140625" style="8" customWidth="1"/>
    <col min="2" max="2" width="12.7109375" style="8" customWidth="1"/>
    <col min="3" max="3" width="14.5703125" style="8" customWidth="1"/>
    <col min="4" max="4" width="12.140625" style="8" customWidth="1"/>
    <col min="5" max="5" width="15" style="8" customWidth="1"/>
    <col min="6" max="7" width="12.140625" style="8" customWidth="1"/>
    <col min="8" max="8" width="15.42578125" style="8" customWidth="1"/>
    <col min="9" max="9" width="14.7109375" style="8" customWidth="1"/>
    <col min="10" max="10" width="13.28515625" style="8" bestFit="1" customWidth="1"/>
    <col min="11" max="11" width="13.5703125" style="8" customWidth="1"/>
    <col min="12" max="13" width="12.2851562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24" t="s">
        <v>74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6" ht="14.25" customHeight="1" x14ac:dyDescent="0.25">
      <c r="A2" s="112" t="s">
        <v>0</v>
      </c>
      <c r="B2" s="112" t="s">
        <v>108</v>
      </c>
      <c r="C2" s="112" t="s">
        <v>1</v>
      </c>
      <c r="D2" s="112" t="s">
        <v>2</v>
      </c>
      <c r="E2" s="112"/>
      <c r="F2" s="112"/>
      <c r="G2" s="112"/>
      <c r="H2" s="113" t="s">
        <v>81</v>
      </c>
      <c r="I2" s="114"/>
      <c r="J2" s="114"/>
      <c r="K2" s="114"/>
      <c r="L2" s="114"/>
      <c r="M2" s="115"/>
      <c r="N2" s="112" t="s">
        <v>82</v>
      </c>
    </row>
    <row r="3" spans="1:16" ht="14.25" customHeight="1" x14ac:dyDescent="0.25">
      <c r="A3" s="112"/>
      <c r="B3" s="112"/>
      <c r="C3" s="112"/>
      <c r="D3" s="112"/>
      <c r="E3" s="112"/>
      <c r="F3" s="112"/>
      <c r="G3" s="112"/>
      <c r="H3" s="116"/>
      <c r="I3" s="117"/>
      <c r="J3" s="117"/>
      <c r="K3" s="117"/>
      <c r="L3" s="117"/>
      <c r="M3" s="118"/>
      <c r="N3" s="112"/>
    </row>
    <row r="4" spans="1:16" ht="14.25" customHeight="1" x14ac:dyDescent="0.25">
      <c r="A4" s="112"/>
      <c r="B4" s="112"/>
      <c r="C4" s="112"/>
      <c r="D4" s="119" t="s">
        <v>3</v>
      </c>
      <c r="E4" s="119" t="s">
        <v>4</v>
      </c>
      <c r="F4" s="119" t="s">
        <v>5</v>
      </c>
      <c r="G4" s="119" t="s">
        <v>6</v>
      </c>
      <c r="H4" s="120" t="s">
        <v>64</v>
      </c>
      <c r="I4" s="120" t="s">
        <v>8</v>
      </c>
      <c r="J4" s="120"/>
      <c r="K4" s="121" t="s">
        <v>9</v>
      </c>
      <c r="L4" s="122"/>
      <c r="M4" s="123"/>
      <c r="N4" s="112"/>
    </row>
    <row r="5" spans="1:16" ht="55.5" customHeight="1" x14ac:dyDescent="0.25">
      <c r="A5" s="112"/>
      <c r="B5" s="112"/>
      <c r="C5" s="112"/>
      <c r="D5" s="119"/>
      <c r="E5" s="119"/>
      <c r="F5" s="119"/>
      <c r="G5" s="119"/>
      <c r="H5" s="120"/>
      <c r="I5" s="91" t="s">
        <v>35</v>
      </c>
      <c r="J5" s="91" t="s">
        <v>36</v>
      </c>
      <c r="K5" s="91" t="s">
        <v>37</v>
      </c>
      <c r="L5" s="91" t="s">
        <v>38</v>
      </c>
      <c r="M5" s="91" t="s">
        <v>109</v>
      </c>
      <c r="N5" s="112"/>
    </row>
    <row r="6" spans="1:16" x14ac:dyDescent="0.25">
      <c r="A6" s="5" t="s">
        <v>15</v>
      </c>
      <c r="B6" s="94" t="s">
        <v>16</v>
      </c>
      <c r="C6" s="94"/>
      <c r="D6" s="90" t="s">
        <v>10</v>
      </c>
      <c r="E6" s="104">
        <v>4</v>
      </c>
      <c r="F6" s="105" t="s">
        <v>40</v>
      </c>
      <c r="G6" s="50" t="s">
        <v>41</v>
      </c>
      <c r="H6" s="68">
        <v>9254793.8000000007</v>
      </c>
      <c r="I6" s="68">
        <v>8792054.1099999994</v>
      </c>
      <c r="J6" s="68">
        <v>0</v>
      </c>
      <c r="K6" s="68">
        <f>H6-I6</f>
        <v>462739.69000000134</v>
      </c>
      <c r="L6" s="68">
        <v>0</v>
      </c>
      <c r="M6" s="53">
        <v>0</v>
      </c>
      <c r="N6" s="46">
        <v>0</v>
      </c>
      <c r="P6" s="12"/>
    </row>
    <row r="7" spans="1:16" ht="14.25" customHeight="1" x14ac:dyDescent="0.25">
      <c r="A7" s="5" t="s">
        <v>17</v>
      </c>
      <c r="B7" s="94" t="s">
        <v>18</v>
      </c>
      <c r="C7" s="94"/>
      <c r="D7" s="90" t="s">
        <v>10</v>
      </c>
      <c r="E7" s="103">
        <v>4</v>
      </c>
      <c r="F7" s="88" t="s">
        <v>40</v>
      </c>
      <c r="G7" s="50" t="s">
        <v>41</v>
      </c>
      <c r="H7" s="68">
        <v>4245000.01</v>
      </c>
      <c r="I7" s="68">
        <v>4032750.01</v>
      </c>
      <c r="J7" s="68">
        <v>0</v>
      </c>
      <c r="K7" s="68">
        <f>H7-I7</f>
        <v>212250</v>
      </c>
      <c r="L7" s="68">
        <v>0</v>
      </c>
      <c r="M7" s="53">
        <v>0</v>
      </c>
      <c r="N7" s="46">
        <v>0</v>
      </c>
      <c r="P7" s="12"/>
    </row>
    <row r="8" spans="1:16" ht="14.25" customHeight="1" x14ac:dyDescent="0.25">
      <c r="A8" s="5" t="s">
        <v>42</v>
      </c>
      <c r="B8" s="94" t="s">
        <v>43</v>
      </c>
      <c r="C8" s="94"/>
      <c r="D8" s="90" t="s">
        <v>10</v>
      </c>
      <c r="E8" s="103">
        <v>4</v>
      </c>
      <c r="F8" s="88" t="s">
        <v>40</v>
      </c>
      <c r="G8" s="50" t="s">
        <v>41</v>
      </c>
      <c r="H8" s="68">
        <v>913530.01</v>
      </c>
      <c r="I8" s="68">
        <v>867853.5</v>
      </c>
      <c r="J8" s="68">
        <v>0</v>
      </c>
      <c r="K8" s="68">
        <v>0</v>
      </c>
      <c r="L8" s="68">
        <f>H8-I8</f>
        <v>45676.510000000009</v>
      </c>
      <c r="M8" s="53">
        <v>0</v>
      </c>
      <c r="N8" s="46">
        <v>0</v>
      </c>
      <c r="P8" s="12"/>
    </row>
    <row r="9" spans="1:16" x14ac:dyDescent="0.25">
      <c r="A9" s="5" t="s">
        <v>44</v>
      </c>
      <c r="B9" s="94" t="s">
        <v>103</v>
      </c>
      <c r="C9" s="94"/>
      <c r="D9" s="90" t="s">
        <v>12</v>
      </c>
      <c r="E9" s="88" t="s">
        <v>45</v>
      </c>
      <c r="F9" s="88" t="s">
        <v>46</v>
      </c>
      <c r="G9" s="50" t="s">
        <v>47</v>
      </c>
      <c r="H9" s="42">
        <f>SUM(I9+J9+K9+L9+M9)</f>
        <v>0</v>
      </c>
      <c r="I9" s="68">
        <v>0</v>
      </c>
      <c r="J9" s="68">
        <v>0</v>
      </c>
      <c r="K9" s="68">
        <v>0</v>
      </c>
      <c r="L9" s="68">
        <v>0</v>
      </c>
      <c r="M9" s="53">
        <v>0</v>
      </c>
      <c r="N9" s="46">
        <v>0</v>
      </c>
      <c r="O9" s="14" t="s">
        <v>101</v>
      </c>
      <c r="P9" s="12"/>
    </row>
    <row r="10" spans="1:16" ht="14.25" customHeight="1" x14ac:dyDescent="0.25">
      <c r="A10" s="148" t="s">
        <v>19</v>
      </c>
      <c r="B10" s="94" t="s">
        <v>104</v>
      </c>
      <c r="C10" s="94"/>
      <c r="D10" s="90" t="s">
        <v>12</v>
      </c>
      <c r="E10" s="88" t="s">
        <v>45</v>
      </c>
      <c r="F10" s="88" t="s">
        <v>46</v>
      </c>
      <c r="G10" s="50" t="s">
        <v>48</v>
      </c>
      <c r="H10" s="42">
        <f t="shared" ref="H10:H13" si="0">SUM(I10+J10+K10+L10+M10)</f>
        <v>800000</v>
      </c>
      <c r="I10" s="68">
        <v>256000</v>
      </c>
      <c r="J10" s="68">
        <v>144000</v>
      </c>
      <c r="K10" s="68">
        <v>0</v>
      </c>
      <c r="L10" s="68">
        <v>0</v>
      </c>
      <c r="M10" s="68">
        <f>I10+J10</f>
        <v>400000</v>
      </c>
      <c r="N10" s="46">
        <v>0</v>
      </c>
      <c r="O10" s="14" t="s">
        <v>98</v>
      </c>
      <c r="P10" s="12"/>
    </row>
    <row r="11" spans="1:16" ht="14.25" customHeight="1" x14ac:dyDescent="0.25">
      <c r="A11" s="148"/>
      <c r="B11" s="94" t="s">
        <v>107</v>
      </c>
      <c r="C11" s="95"/>
      <c r="D11" s="86" t="s">
        <v>12</v>
      </c>
      <c r="E11" s="50" t="s">
        <v>45</v>
      </c>
      <c r="F11" s="87" t="s">
        <v>46</v>
      </c>
      <c r="G11" s="87" t="s">
        <v>48</v>
      </c>
      <c r="H11" s="42">
        <f t="shared" si="0"/>
        <v>250000</v>
      </c>
      <c r="I11" s="107">
        <v>128000</v>
      </c>
      <c r="J11" s="107">
        <v>72000</v>
      </c>
      <c r="K11" s="107">
        <v>0</v>
      </c>
      <c r="L11" s="107">
        <v>0</v>
      </c>
      <c r="M11" s="107">
        <v>50000</v>
      </c>
      <c r="N11" s="108">
        <v>0</v>
      </c>
      <c r="O11" s="16" t="s">
        <v>102</v>
      </c>
      <c r="P11" s="12"/>
    </row>
    <row r="12" spans="1:16" x14ac:dyDescent="0.25">
      <c r="A12" s="148"/>
      <c r="B12" s="96" t="s">
        <v>105</v>
      </c>
      <c r="C12" s="96"/>
      <c r="D12" s="90" t="s">
        <v>12</v>
      </c>
      <c r="E12" s="88" t="s">
        <v>45</v>
      </c>
      <c r="F12" s="88" t="s">
        <v>46</v>
      </c>
      <c r="G12" s="50" t="s">
        <v>48</v>
      </c>
      <c r="H12" s="42">
        <f t="shared" si="0"/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46">
        <v>0</v>
      </c>
      <c r="O12" s="14" t="s">
        <v>99</v>
      </c>
      <c r="P12" s="12"/>
    </row>
    <row r="13" spans="1:16" x14ac:dyDescent="0.25">
      <c r="A13" s="148"/>
      <c r="B13" s="96" t="s">
        <v>106</v>
      </c>
      <c r="C13" s="96"/>
      <c r="D13" s="90" t="s">
        <v>12</v>
      </c>
      <c r="E13" s="88" t="s">
        <v>45</v>
      </c>
      <c r="F13" s="88" t="s">
        <v>46</v>
      </c>
      <c r="G13" s="50" t="s">
        <v>48</v>
      </c>
      <c r="H13" s="42">
        <f t="shared" si="0"/>
        <v>888889</v>
      </c>
      <c r="I13" s="107">
        <v>256000</v>
      </c>
      <c r="J13" s="68">
        <v>144000</v>
      </c>
      <c r="K13" s="68">
        <v>0</v>
      </c>
      <c r="L13" s="68">
        <v>0</v>
      </c>
      <c r="M13" s="68">
        <v>488889</v>
      </c>
      <c r="N13" s="46">
        <v>0</v>
      </c>
      <c r="O13" s="14" t="s">
        <v>100</v>
      </c>
      <c r="P13" s="12"/>
    </row>
    <row r="14" spans="1:16" ht="14.25" customHeight="1" x14ac:dyDescent="0.25">
      <c r="A14" s="148" t="s">
        <v>21</v>
      </c>
      <c r="B14" s="96" t="s">
        <v>22</v>
      </c>
      <c r="C14" s="96"/>
      <c r="D14" s="90" t="s">
        <v>20</v>
      </c>
      <c r="E14" s="103">
        <v>2</v>
      </c>
      <c r="F14" s="88" t="s">
        <v>49</v>
      </c>
      <c r="G14" s="50" t="s">
        <v>50</v>
      </c>
      <c r="H14" s="39">
        <f>11768*1000</f>
        <v>11768000</v>
      </c>
      <c r="I14" s="39">
        <f>10002.8*1000</f>
        <v>10002800</v>
      </c>
      <c r="J14" s="47">
        <f>932.4*1000</f>
        <v>932400</v>
      </c>
      <c r="K14" s="47">
        <f>278.7*1000</f>
        <v>278700</v>
      </c>
      <c r="L14" s="47">
        <f>554.1*1000</f>
        <v>554100</v>
      </c>
      <c r="M14" s="53">
        <v>0</v>
      </c>
      <c r="N14" s="46">
        <v>0</v>
      </c>
      <c r="P14" s="12"/>
    </row>
    <row r="15" spans="1:16" x14ac:dyDescent="0.25">
      <c r="A15" s="148"/>
      <c r="B15" s="96" t="s">
        <v>23</v>
      </c>
      <c r="C15" s="96"/>
      <c r="D15" s="90" t="s">
        <v>10</v>
      </c>
      <c r="E15" s="104">
        <v>4</v>
      </c>
      <c r="F15" s="105" t="s">
        <v>40</v>
      </c>
      <c r="G15" s="50" t="s">
        <v>41</v>
      </c>
      <c r="H15" s="41">
        <v>0</v>
      </c>
      <c r="I15" s="41">
        <v>0</v>
      </c>
      <c r="J15" s="42">
        <v>0</v>
      </c>
      <c r="K15" s="42">
        <v>0</v>
      </c>
      <c r="L15" s="42">
        <v>0</v>
      </c>
      <c r="M15" s="53">
        <v>0</v>
      </c>
      <c r="N15" s="46">
        <v>0</v>
      </c>
      <c r="P15" s="12"/>
    </row>
    <row r="16" spans="1:16" x14ac:dyDescent="0.25">
      <c r="A16" s="148"/>
      <c r="B16" s="96" t="s">
        <v>51</v>
      </c>
      <c r="C16" s="96"/>
      <c r="D16" s="90" t="s">
        <v>20</v>
      </c>
      <c r="E16" s="103">
        <v>2</v>
      </c>
      <c r="F16" s="88" t="s">
        <v>49</v>
      </c>
      <c r="G16" s="50" t="s">
        <v>50</v>
      </c>
      <c r="H16" s="56">
        <f>2744*1000</f>
        <v>2744000</v>
      </c>
      <c r="I16" s="56">
        <f>2332.4*1000</f>
        <v>2332400</v>
      </c>
      <c r="J16" s="57">
        <f>364.13*1000</f>
        <v>364130</v>
      </c>
      <c r="K16" s="58">
        <f>22.09*1000</f>
        <v>22090</v>
      </c>
      <c r="L16" s="58">
        <f>25.38*1000</f>
        <v>25380</v>
      </c>
      <c r="M16" s="53">
        <v>0</v>
      </c>
      <c r="N16" s="46">
        <v>0</v>
      </c>
      <c r="P16" s="12"/>
    </row>
    <row r="17" spans="1:16" s="18" customFormat="1" ht="14.25" hidden="1" x14ac:dyDescent="0.25">
      <c r="A17" s="148"/>
      <c r="B17" s="98" t="s">
        <v>52</v>
      </c>
      <c r="C17" s="98"/>
      <c r="D17" s="89" t="s">
        <v>20</v>
      </c>
      <c r="E17" s="89">
        <v>2</v>
      </c>
      <c r="F17" s="51" t="s">
        <v>49</v>
      </c>
      <c r="G17" s="51" t="s">
        <v>50</v>
      </c>
      <c r="H17" s="59">
        <v>0</v>
      </c>
      <c r="I17" s="59">
        <v>0</v>
      </c>
      <c r="J17" s="60">
        <v>0</v>
      </c>
      <c r="K17" s="60">
        <v>0</v>
      </c>
      <c r="L17" s="60">
        <v>0</v>
      </c>
      <c r="M17" s="44"/>
      <c r="N17" s="43">
        <v>0</v>
      </c>
      <c r="P17" s="19"/>
    </row>
    <row r="18" spans="1:16" x14ac:dyDescent="0.25">
      <c r="A18" s="20" t="s">
        <v>24</v>
      </c>
      <c r="B18" s="99" t="s">
        <v>25</v>
      </c>
      <c r="C18" s="96"/>
      <c r="D18" s="90" t="s">
        <v>53</v>
      </c>
      <c r="E18" s="90">
        <v>4</v>
      </c>
      <c r="F18" s="90"/>
      <c r="G18" s="52" t="s">
        <v>54</v>
      </c>
      <c r="H18" s="56">
        <f>762.35*1000</f>
        <v>762350</v>
      </c>
      <c r="I18" s="56">
        <f>648*1000</f>
        <v>648000</v>
      </c>
      <c r="J18" s="61">
        <v>0</v>
      </c>
      <c r="K18" s="57">
        <f>114.35*1000</f>
        <v>114350</v>
      </c>
      <c r="L18" s="61">
        <v>0</v>
      </c>
      <c r="M18" s="53">
        <v>0</v>
      </c>
      <c r="N18" s="39">
        <v>0</v>
      </c>
      <c r="P18" s="12"/>
    </row>
    <row r="19" spans="1:16" ht="14.25" customHeight="1" x14ac:dyDescent="0.25">
      <c r="A19" s="126" t="s">
        <v>14</v>
      </c>
      <c r="B19" s="126"/>
      <c r="C19" s="126"/>
      <c r="D19" s="126"/>
      <c r="E19" s="126"/>
      <c r="F19" s="3"/>
      <c r="G19" s="4"/>
      <c r="H19" s="4"/>
      <c r="I19" s="4"/>
      <c r="J19" s="4"/>
      <c r="K19" s="4"/>
      <c r="L19" s="4"/>
      <c r="M19" s="75"/>
      <c r="N19" s="4"/>
      <c r="P19" s="12"/>
    </row>
    <row r="21" spans="1:16" x14ac:dyDescent="0.25">
      <c r="A21" s="149" t="s">
        <v>95</v>
      </c>
      <c r="B21" s="149"/>
      <c r="C21" s="149"/>
      <c r="D21" s="149"/>
      <c r="E21" s="149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12" t="s">
        <v>27</v>
      </c>
      <c r="B23" s="9" t="s">
        <v>10</v>
      </c>
      <c r="C23" s="46">
        <f>SUM(I6:I8)</f>
        <v>13692657.619999999</v>
      </c>
      <c r="D23" s="46">
        <v>0</v>
      </c>
      <c r="E23" s="46">
        <f>C23+D23</f>
        <v>13692657.619999999</v>
      </c>
    </row>
    <row r="24" spans="1:16" x14ac:dyDescent="0.25">
      <c r="A24" s="112"/>
      <c r="B24" s="9" t="s">
        <v>13</v>
      </c>
      <c r="C24" s="46">
        <f>SUM((I18))</f>
        <v>648000</v>
      </c>
      <c r="D24" s="46">
        <v>114.35</v>
      </c>
      <c r="E24" s="46">
        <f>C24+D24</f>
        <v>648114.35</v>
      </c>
    </row>
    <row r="25" spans="1:16" x14ac:dyDescent="0.25">
      <c r="A25" s="112"/>
      <c r="B25" s="4" t="s">
        <v>28</v>
      </c>
      <c r="C25" s="62">
        <f>C23+C24</f>
        <v>14340657.619999999</v>
      </c>
      <c r="D25" s="62">
        <v>0</v>
      </c>
      <c r="E25" s="62">
        <f t="shared" ref="E25" si="1">E23+E24</f>
        <v>14340771.969999999</v>
      </c>
    </row>
    <row r="26" spans="1:16" ht="14.25" customHeight="1" x14ac:dyDescent="0.25">
      <c r="A26" s="112" t="s">
        <v>29</v>
      </c>
      <c r="B26" s="9" t="s">
        <v>11</v>
      </c>
      <c r="C26" s="39">
        <f>I14+I16</f>
        <v>12335200</v>
      </c>
      <c r="D26" s="39">
        <f>J14+J16</f>
        <v>1296530</v>
      </c>
      <c r="E26" s="39">
        <f>C26+D26</f>
        <v>13631730</v>
      </c>
    </row>
    <row r="27" spans="1:16" x14ac:dyDescent="0.25">
      <c r="A27" s="112"/>
      <c r="B27" s="4" t="s">
        <v>30</v>
      </c>
      <c r="C27" s="39">
        <f>C26</f>
        <v>12335200</v>
      </c>
      <c r="D27" s="39">
        <f t="shared" ref="D27:E27" si="2">D26</f>
        <v>1296530</v>
      </c>
      <c r="E27" s="39">
        <f t="shared" si="2"/>
        <v>13631730</v>
      </c>
    </row>
    <row r="28" spans="1:16" ht="14.25" customHeight="1" x14ac:dyDescent="0.25">
      <c r="A28" s="112" t="s">
        <v>31</v>
      </c>
      <c r="B28" s="11" t="s">
        <v>12</v>
      </c>
      <c r="C28" s="41">
        <f>SUM(I9:I13)</f>
        <v>640000</v>
      </c>
      <c r="D28" s="46">
        <f>SUM(J9:J13)</f>
        <v>360000</v>
      </c>
      <c r="E28" s="46">
        <f>C28+D28</f>
        <v>1000000</v>
      </c>
    </row>
    <row r="29" spans="1:16" ht="35.25" customHeight="1" x14ac:dyDescent="0.25">
      <c r="A29" s="112"/>
      <c r="B29" s="4" t="s">
        <v>32</v>
      </c>
      <c r="C29" s="62">
        <f>C28</f>
        <v>640000</v>
      </c>
      <c r="D29" s="62">
        <f t="shared" ref="D29:E29" si="3">D28</f>
        <v>360000</v>
      </c>
      <c r="E29" s="62">
        <f t="shared" si="3"/>
        <v>1000000</v>
      </c>
    </row>
    <row r="30" spans="1:16" x14ac:dyDescent="0.25">
      <c r="A30" s="7" t="s">
        <v>33</v>
      </c>
      <c r="B30" s="54" t="s">
        <v>14</v>
      </c>
      <c r="C30" s="64">
        <f>C25+C27+C29</f>
        <v>27315857.619999997</v>
      </c>
      <c r="D30" s="64">
        <f>D25+D27+D29</f>
        <v>1656530</v>
      </c>
      <c r="E30" s="64">
        <f>E25+E27+E29</f>
        <v>28972501.969999999</v>
      </c>
    </row>
    <row r="32" spans="1:16" x14ac:dyDescent="0.25">
      <c r="A32" s="141" t="s">
        <v>75</v>
      </c>
      <c r="B32" s="141"/>
      <c r="C32" s="141"/>
      <c r="D32" s="141"/>
      <c r="E32" s="141"/>
      <c r="F32" s="141"/>
      <c r="G32" s="141"/>
      <c r="H32" s="141"/>
      <c r="I32" s="141"/>
      <c r="J32" s="141"/>
    </row>
    <row r="33" spans="1:11" ht="15" customHeight="1" x14ac:dyDescent="0.25">
      <c r="A33" s="142" t="s">
        <v>56</v>
      </c>
      <c r="B33" s="142" t="s">
        <v>57</v>
      </c>
      <c r="C33" s="142" t="s">
        <v>5</v>
      </c>
      <c r="D33" s="142" t="s">
        <v>58</v>
      </c>
      <c r="E33" s="137" t="s">
        <v>84</v>
      </c>
      <c r="F33" s="138"/>
      <c r="G33" s="138"/>
      <c r="H33" s="138"/>
      <c r="I33" s="138"/>
      <c r="J33" s="139"/>
      <c r="K33" s="128" t="s">
        <v>82</v>
      </c>
    </row>
    <row r="34" spans="1:11" ht="14.25" customHeight="1" x14ac:dyDescent="0.25">
      <c r="A34" s="142"/>
      <c r="B34" s="142"/>
      <c r="C34" s="142"/>
      <c r="D34" s="142"/>
      <c r="E34" s="129" t="s">
        <v>7</v>
      </c>
      <c r="F34" s="130" t="s">
        <v>59</v>
      </c>
      <c r="G34" s="130"/>
      <c r="H34" s="131" t="s">
        <v>9</v>
      </c>
      <c r="I34" s="132"/>
      <c r="J34" s="133"/>
      <c r="K34" s="128"/>
    </row>
    <row r="35" spans="1:11" ht="14.25" customHeight="1" x14ac:dyDescent="0.25">
      <c r="A35" s="142"/>
      <c r="B35" s="142"/>
      <c r="C35" s="142"/>
      <c r="D35" s="142"/>
      <c r="E35" s="129"/>
      <c r="F35" s="130"/>
      <c r="G35" s="130"/>
      <c r="H35" s="134"/>
      <c r="I35" s="135"/>
      <c r="J35" s="136"/>
      <c r="K35" s="128"/>
    </row>
    <row r="36" spans="1:11" ht="51" x14ac:dyDescent="0.25">
      <c r="A36" s="142"/>
      <c r="B36" s="142"/>
      <c r="C36" s="142"/>
      <c r="D36" s="142"/>
      <c r="E36" s="129"/>
      <c r="F36" s="101" t="s">
        <v>60</v>
      </c>
      <c r="G36" s="102" t="s">
        <v>61</v>
      </c>
      <c r="H36" s="101" t="s">
        <v>62</v>
      </c>
      <c r="I36" s="101" t="s">
        <v>38</v>
      </c>
      <c r="J36" s="91" t="s">
        <v>109</v>
      </c>
      <c r="K36" s="128"/>
    </row>
    <row r="37" spans="1:11" x14ac:dyDescent="0.25">
      <c r="A37" s="29" t="s">
        <v>11</v>
      </c>
      <c r="B37" s="30">
        <v>2</v>
      </c>
      <c r="C37" s="31" t="s">
        <v>49</v>
      </c>
      <c r="D37" s="31" t="s">
        <v>50</v>
      </c>
      <c r="E37" s="40">
        <v>14512000</v>
      </c>
      <c r="F37" s="40">
        <f t="shared" ref="F37:I37" si="4">SUM(I14,I16,I17)</f>
        <v>12335200</v>
      </c>
      <c r="G37" s="40">
        <f t="shared" si="4"/>
        <v>1296530</v>
      </c>
      <c r="H37" s="40">
        <f t="shared" si="4"/>
        <v>300790</v>
      </c>
      <c r="I37" s="40">
        <f t="shared" si="4"/>
        <v>579480</v>
      </c>
      <c r="J37" s="100">
        <v>0</v>
      </c>
      <c r="K37" s="49">
        <f>SUM(N14,N16,N17)</f>
        <v>0</v>
      </c>
    </row>
    <row r="38" spans="1:11" ht="14.25" customHeight="1" x14ac:dyDescent="0.25">
      <c r="A38" s="140" t="s">
        <v>12</v>
      </c>
      <c r="B38" s="32" t="s">
        <v>45</v>
      </c>
      <c r="C38" s="32" t="s">
        <v>46</v>
      </c>
      <c r="D38" s="32" t="s">
        <v>48</v>
      </c>
      <c r="E38" s="49">
        <f>SUM(H10:H13)</f>
        <v>1938889</v>
      </c>
      <c r="F38" s="49">
        <f>SUM(I10:I13)</f>
        <v>640000</v>
      </c>
      <c r="G38" s="49">
        <f>SUM(J10:J13)</f>
        <v>360000</v>
      </c>
      <c r="H38" s="49">
        <f t="shared" ref="H38:I38" si="5">SUM(K10,K12,K13)</f>
        <v>0</v>
      </c>
      <c r="I38" s="49">
        <f t="shared" si="5"/>
        <v>0</v>
      </c>
      <c r="J38" s="49">
        <f>SUM(M10:M13)</f>
        <v>938889</v>
      </c>
      <c r="K38" s="49">
        <f>SUM(N10,N12,N13)</f>
        <v>0</v>
      </c>
    </row>
    <row r="39" spans="1:11" x14ac:dyDescent="0.25">
      <c r="A39" s="140"/>
      <c r="B39" s="32" t="s">
        <v>45</v>
      </c>
      <c r="C39" s="32" t="s">
        <v>46</v>
      </c>
      <c r="D39" s="32" t="s">
        <v>47</v>
      </c>
      <c r="E39" s="49">
        <f t="shared" ref="E39:I39" si="6">SUM(H9)</f>
        <v>0</v>
      </c>
      <c r="F39" s="49">
        <f t="shared" si="6"/>
        <v>0</v>
      </c>
      <c r="G39" s="49">
        <f t="shared" si="6"/>
        <v>0</v>
      </c>
      <c r="H39" s="49">
        <f t="shared" si="6"/>
        <v>0</v>
      </c>
      <c r="I39" s="49">
        <f t="shared" si="6"/>
        <v>0</v>
      </c>
      <c r="J39" s="100">
        <v>0</v>
      </c>
      <c r="K39" s="49">
        <f>SUM(N9)</f>
        <v>0</v>
      </c>
    </row>
    <row r="40" spans="1:11" x14ac:dyDescent="0.25">
      <c r="A40" s="29" t="s">
        <v>10</v>
      </c>
      <c r="B40" s="33">
        <v>4</v>
      </c>
      <c r="C40" s="33" t="s">
        <v>40</v>
      </c>
      <c r="D40" s="34" t="s">
        <v>41</v>
      </c>
      <c r="E40" s="49">
        <f t="shared" ref="E40:I40" si="7">SUM(H6,H7,H8,H15)</f>
        <v>14413323.82</v>
      </c>
      <c r="F40" s="49">
        <f t="shared" si="7"/>
        <v>13692657.619999999</v>
      </c>
      <c r="G40" s="49">
        <f t="shared" si="7"/>
        <v>0</v>
      </c>
      <c r="H40" s="49">
        <f t="shared" si="7"/>
        <v>674989.69000000134</v>
      </c>
      <c r="I40" s="49">
        <f t="shared" si="7"/>
        <v>45676.510000000009</v>
      </c>
      <c r="J40" s="100">
        <v>0</v>
      </c>
      <c r="K40" s="49">
        <f>SUM(N6,N7,N8,N15)</f>
        <v>0</v>
      </c>
    </row>
    <row r="41" spans="1:11" x14ac:dyDescent="0.25">
      <c r="A41" s="35" t="s">
        <v>13</v>
      </c>
      <c r="B41" s="11">
        <v>4</v>
      </c>
      <c r="C41" s="11"/>
      <c r="D41" s="36" t="s">
        <v>54</v>
      </c>
      <c r="E41" s="49">
        <f t="shared" ref="E41:I41" si="8">SUM(H18)</f>
        <v>762350</v>
      </c>
      <c r="F41" s="49">
        <f t="shared" si="8"/>
        <v>648000</v>
      </c>
      <c r="G41" s="49">
        <f t="shared" si="8"/>
        <v>0</v>
      </c>
      <c r="H41" s="49">
        <f t="shared" si="8"/>
        <v>114350</v>
      </c>
      <c r="I41" s="49">
        <f t="shared" si="8"/>
        <v>0</v>
      </c>
      <c r="J41" s="100">
        <v>0</v>
      </c>
      <c r="K41" s="49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E33:J33"/>
    <mergeCell ref="H34:J35"/>
    <mergeCell ref="A10:A13"/>
    <mergeCell ref="A14:A17"/>
    <mergeCell ref="A19:E19"/>
    <mergeCell ref="A21:E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L41"/>
  <sheetViews>
    <sheetView topLeftCell="A10" zoomScaleNormal="100" workbookViewId="0">
      <selection activeCell="E37" sqref="E37:J39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8" width="12.42578125" style="8" customWidth="1"/>
    <col min="9" max="9" width="12.7109375" style="8" customWidth="1"/>
    <col min="10" max="10" width="11.42578125" style="8"/>
    <col min="11" max="11" width="13.5703125" style="8" customWidth="1"/>
    <col min="12" max="13" width="9.855468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24" t="s">
        <v>76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6" ht="14.25" customHeight="1" x14ac:dyDescent="0.25">
      <c r="A2" s="112" t="s">
        <v>0</v>
      </c>
      <c r="B2" s="112" t="s">
        <v>108</v>
      </c>
      <c r="C2" s="112" t="s">
        <v>1</v>
      </c>
      <c r="D2" s="112" t="s">
        <v>2</v>
      </c>
      <c r="E2" s="112"/>
      <c r="F2" s="112"/>
      <c r="G2" s="112"/>
      <c r="H2" s="113" t="s">
        <v>81</v>
      </c>
      <c r="I2" s="114"/>
      <c r="J2" s="114"/>
      <c r="K2" s="114"/>
      <c r="L2" s="114"/>
      <c r="M2" s="115"/>
      <c r="N2" s="112" t="s">
        <v>82</v>
      </c>
    </row>
    <row r="3" spans="1:16" ht="14.25" customHeight="1" x14ac:dyDescent="0.25">
      <c r="A3" s="112"/>
      <c r="B3" s="112"/>
      <c r="C3" s="112"/>
      <c r="D3" s="112"/>
      <c r="E3" s="112"/>
      <c r="F3" s="112"/>
      <c r="G3" s="112"/>
      <c r="H3" s="116"/>
      <c r="I3" s="117"/>
      <c r="J3" s="117"/>
      <c r="K3" s="117"/>
      <c r="L3" s="117"/>
      <c r="M3" s="118"/>
      <c r="N3" s="112"/>
    </row>
    <row r="4" spans="1:16" ht="14.25" customHeight="1" x14ac:dyDescent="0.25">
      <c r="A4" s="112"/>
      <c r="B4" s="112"/>
      <c r="C4" s="112"/>
      <c r="D4" s="119" t="s">
        <v>3</v>
      </c>
      <c r="E4" s="119" t="s">
        <v>4</v>
      </c>
      <c r="F4" s="119" t="s">
        <v>5</v>
      </c>
      <c r="G4" s="119" t="s">
        <v>6</v>
      </c>
      <c r="H4" s="120" t="s">
        <v>64</v>
      </c>
      <c r="I4" s="120" t="s">
        <v>8</v>
      </c>
      <c r="J4" s="120"/>
      <c r="K4" s="121" t="s">
        <v>9</v>
      </c>
      <c r="L4" s="122"/>
      <c r="M4" s="123"/>
      <c r="N4" s="112"/>
    </row>
    <row r="5" spans="1:16" ht="55.5" customHeight="1" x14ac:dyDescent="0.25">
      <c r="A5" s="112"/>
      <c r="B5" s="112"/>
      <c r="C5" s="112"/>
      <c r="D5" s="119"/>
      <c r="E5" s="119"/>
      <c r="F5" s="119"/>
      <c r="G5" s="119"/>
      <c r="H5" s="120"/>
      <c r="I5" s="91" t="s">
        <v>35</v>
      </c>
      <c r="J5" s="91" t="s">
        <v>36</v>
      </c>
      <c r="K5" s="91" t="s">
        <v>37</v>
      </c>
      <c r="L5" s="91" t="s">
        <v>38</v>
      </c>
      <c r="M5" s="91" t="s">
        <v>109</v>
      </c>
      <c r="N5" s="112"/>
    </row>
    <row r="6" spans="1:16" x14ac:dyDescent="0.25">
      <c r="A6" s="5" t="s">
        <v>15</v>
      </c>
      <c r="B6" s="94" t="s">
        <v>16</v>
      </c>
      <c r="C6" s="94"/>
      <c r="D6" s="90" t="s">
        <v>10</v>
      </c>
      <c r="E6" s="84">
        <v>4</v>
      </c>
      <c r="F6" s="85" t="s">
        <v>40</v>
      </c>
      <c r="G6" s="52" t="s">
        <v>41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P6" s="12"/>
    </row>
    <row r="7" spans="1:16" ht="14.25" customHeight="1" x14ac:dyDescent="0.25">
      <c r="A7" s="5" t="s">
        <v>17</v>
      </c>
      <c r="B7" s="94" t="s">
        <v>18</v>
      </c>
      <c r="C7" s="94"/>
      <c r="D7" s="109" t="s">
        <v>10</v>
      </c>
      <c r="E7" s="103">
        <v>4</v>
      </c>
      <c r="F7" s="87" t="s">
        <v>40</v>
      </c>
      <c r="G7" s="52" t="s">
        <v>41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P7" s="12"/>
    </row>
    <row r="8" spans="1:16" ht="14.25" customHeight="1" x14ac:dyDescent="0.25">
      <c r="A8" s="5" t="s">
        <v>42</v>
      </c>
      <c r="B8" s="94" t="s">
        <v>43</v>
      </c>
      <c r="C8" s="94"/>
      <c r="D8" s="109" t="s">
        <v>10</v>
      </c>
      <c r="E8" s="103">
        <v>4</v>
      </c>
      <c r="F8" s="87" t="s">
        <v>40</v>
      </c>
      <c r="G8" s="52" t="s">
        <v>41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P8" s="12"/>
    </row>
    <row r="9" spans="1:16" x14ac:dyDescent="0.25">
      <c r="A9" s="5" t="s">
        <v>44</v>
      </c>
      <c r="B9" s="94" t="s">
        <v>103</v>
      </c>
      <c r="C9" s="94"/>
      <c r="D9" s="109" t="s">
        <v>12</v>
      </c>
      <c r="E9" s="88" t="s">
        <v>45</v>
      </c>
      <c r="F9" s="87" t="s">
        <v>46</v>
      </c>
      <c r="G9" s="52" t="s">
        <v>47</v>
      </c>
      <c r="H9" s="53">
        <v>0</v>
      </c>
      <c r="I9" s="53">
        <f>H9*0.8*0.75</f>
        <v>0</v>
      </c>
      <c r="J9" s="53">
        <f>H9*0.8*0.25</f>
        <v>0</v>
      </c>
      <c r="K9" s="53">
        <v>0</v>
      </c>
      <c r="L9" s="53">
        <f>H9*0.2</f>
        <v>0</v>
      </c>
      <c r="M9" s="53">
        <v>0</v>
      </c>
      <c r="N9" s="53">
        <v>0</v>
      </c>
      <c r="O9" s="14" t="s">
        <v>101</v>
      </c>
      <c r="P9" s="12"/>
    </row>
    <row r="10" spans="1:16" ht="14.25" customHeight="1" x14ac:dyDescent="0.25">
      <c r="A10" s="148" t="s">
        <v>19</v>
      </c>
      <c r="B10" s="94" t="s">
        <v>104</v>
      </c>
      <c r="C10" s="94"/>
      <c r="D10" s="109" t="s">
        <v>12</v>
      </c>
      <c r="E10" s="88" t="s">
        <v>45</v>
      </c>
      <c r="F10" s="87" t="s">
        <v>46</v>
      </c>
      <c r="G10" s="52" t="s">
        <v>48</v>
      </c>
      <c r="H10" s="53">
        <v>1516200</v>
      </c>
      <c r="I10" s="53">
        <v>485184</v>
      </c>
      <c r="J10" s="53">
        <v>272916</v>
      </c>
      <c r="K10" s="53">
        <v>0</v>
      </c>
      <c r="L10" s="53">
        <v>0</v>
      </c>
      <c r="M10" s="53">
        <v>758100</v>
      </c>
      <c r="N10" s="53">
        <v>0</v>
      </c>
      <c r="O10" s="14" t="s">
        <v>98</v>
      </c>
      <c r="P10" s="12"/>
    </row>
    <row r="11" spans="1:16" ht="14.25" customHeight="1" x14ac:dyDescent="0.25">
      <c r="A11" s="148"/>
      <c r="B11" s="94" t="s">
        <v>107</v>
      </c>
      <c r="C11" s="95"/>
      <c r="D11" s="86" t="s">
        <v>12</v>
      </c>
      <c r="E11" s="50" t="s">
        <v>45</v>
      </c>
      <c r="F11" s="87" t="s">
        <v>46</v>
      </c>
      <c r="G11" s="87" t="s">
        <v>48</v>
      </c>
      <c r="H11" s="73">
        <v>645250</v>
      </c>
      <c r="I11" s="73">
        <v>330368</v>
      </c>
      <c r="J11" s="73">
        <v>185832</v>
      </c>
      <c r="K11" s="73">
        <v>0</v>
      </c>
      <c r="L11" s="73">
        <v>0</v>
      </c>
      <c r="M11" s="73">
        <v>129050</v>
      </c>
      <c r="N11" s="73">
        <v>0</v>
      </c>
      <c r="O11" s="16" t="s">
        <v>102</v>
      </c>
      <c r="P11" s="12"/>
    </row>
    <row r="12" spans="1:16" x14ac:dyDescent="0.25">
      <c r="A12" s="148"/>
      <c r="B12" s="96" t="s">
        <v>105</v>
      </c>
      <c r="C12" s="96"/>
      <c r="D12" s="109" t="s">
        <v>12</v>
      </c>
      <c r="E12" s="88" t="s">
        <v>45</v>
      </c>
      <c r="F12" s="87" t="s">
        <v>46</v>
      </c>
      <c r="G12" s="52" t="s">
        <v>48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14" t="s">
        <v>99</v>
      </c>
      <c r="P12" s="12"/>
    </row>
    <row r="13" spans="1:16" x14ac:dyDescent="0.25">
      <c r="A13" s="148"/>
      <c r="B13" s="96" t="s">
        <v>106</v>
      </c>
      <c r="C13" s="96"/>
      <c r="D13" s="109" t="s">
        <v>12</v>
      </c>
      <c r="E13" s="88" t="s">
        <v>45</v>
      </c>
      <c r="F13" s="87" t="s">
        <v>46</v>
      </c>
      <c r="G13" s="52" t="s">
        <v>48</v>
      </c>
      <c r="H13" s="69">
        <v>1684667</v>
      </c>
      <c r="I13" s="69">
        <v>485184</v>
      </c>
      <c r="J13" s="53">
        <v>272916</v>
      </c>
      <c r="K13" s="53">
        <v>0</v>
      </c>
      <c r="L13" s="53">
        <v>0</v>
      </c>
      <c r="M13" s="53">
        <v>926567</v>
      </c>
      <c r="N13" s="53">
        <v>0</v>
      </c>
      <c r="O13" s="14" t="s">
        <v>100</v>
      </c>
      <c r="P13" s="12"/>
    </row>
    <row r="14" spans="1:16" ht="14.25" customHeight="1" x14ac:dyDescent="0.25">
      <c r="A14" s="148" t="s">
        <v>21</v>
      </c>
      <c r="B14" s="96" t="s">
        <v>22</v>
      </c>
      <c r="C14" s="96"/>
      <c r="D14" s="90" t="s">
        <v>20</v>
      </c>
      <c r="E14" s="86">
        <v>2</v>
      </c>
      <c r="F14" s="87" t="s">
        <v>49</v>
      </c>
      <c r="G14" s="52" t="s">
        <v>50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P14" s="12"/>
    </row>
    <row r="15" spans="1:16" x14ac:dyDescent="0.25">
      <c r="A15" s="148"/>
      <c r="B15" s="96" t="s">
        <v>23</v>
      </c>
      <c r="C15" s="96"/>
      <c r="D15" s="90" t="s">
        <v>10</v>
      </c>
      <c r="E15" s="84">
        <v>4</v>
      </c>
      <c r="F15" s="85" t="s">
        <v>40</v>
      </c>
      <c r="G15" s="52" t="s">
        <v>41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P15" s="12"/>
    </row>
    <row r="16" spans="1:16" x14ac:dyDescent="0.25">
      <c r="A16" s="148"/>
      <c r="B16" s="96" t="s">
        <v>51</v>
      </c>
      <c r="C16" s="96"/>
      <c r="D16" s="90" t="s">
        <v>20</v>
      </c>
      <c r="E16" s="86">
        <v>2</v>
      </c>
      <c r="F16" s="87" t="s">
        <v>49</v>
      </c>
      <c r="G16" s="52" t="s">
        <v>50</v>
      </c>
      <c r="H16" s="47">
        <f>2133*1000</f>
        <v>2133000</v>
      </c>
      <c r="I16" s="47">
        <f>1813.05*1000</f>
        <v>1813050</v>
      </c>
      <c r="J16" s="47">
        <f>319.95*1000</f>
        <v>319950</v>
      </c>
      <c r="K16" s="53">
        <v>0</v>
      </c>
      <c r="L16" s="53">
        <v>0</v>
      </c>
      <c r="M16" s="53">
        <v>0</v>
      </c>
      <c r="N16" s="53">
        <v>0</v>
      </c>
      <c r="P16" s="12"/>
    </row>
    <row r="17" spans="1:16" s="18" customFormat="1" ht="14.25" hidden="1" x14ac:dyDescent="0.25">
      <c r="A17" s="148"/>
      <c r="B17" s="98" t="s">
        <v>52</v>
      </c>
      <c r="C17" s="98"/>
      <c r="D17" s="89" t="s">
        <v>20</v>
      </c>
      <c r="E17" s="89">
        <v>2</v>
      </c>
      <c r="F17" s="51" t="s">
        <v>49</v>
      </c>
      <c r="G17" s="51" t="s">
        <v>50</v>
      </c>
      <c r="H17" s="44">
        <v>0</v>
      </c>
      <c r="I17" s="44">
        <v>0</v>
      </c>
      <c r="J17" s="44">
        <v>0</v>
      </c>
      <c r="K17" s="44">
        <v>0</v>
      </c>
      <c r="L17" s="44">
        <f>H17*0.15</f>
        <v>0</v>
      </c>
      <c r="M17" s="44"/>
      <c r="N17" s="44">
        <v>0</v>
      </c>
      <c r="P17" s="19"/>
    </row>
    <row r="18" spans="1:16" x14ac:dyDescent="0.25">
      <c r="A18" s="20" t="s">
        <v>24</v>
      </c>
      <c r="B18" s="99" t="s">
        <v>25</v>
      </c>
      <c r="C18" s="96"/>
      <c r="D18" s="90" t="s">
        <v>53</v>
      </c>
      <c r="E18" s="90">
        <v>4</v>
      </c>
      <c r="F18" s="90"/>
      <c r="G18" s="52" t="s">
        <v>54</v>
      </c>
      <c r="H18" s="47">
        <f>762.35*1000</f>
        <v>762350</v>
      </c>
      <c r="I18" s="47">
        <f>648*1000</f>
        <v>648000</v>
      </c>
      <c r="J18" s="47">
        <v>0</v>
      </c>
      <c r="K18" s="47">
        <f>114.35*1000</f>
        <v>114350</v>
      </c>
      <c r="L18" s="47">
        <v>0</v>
      </c>
      <c r="M18" s="53">
        <v>0</v>
      </c>
      <c r="N18" s="47">
        <v>0</v>
      </c>
      <c r="P18" s="12"/>
    </row>
    <row r="19" spans="1:16" ht="14.25" customHeight="1" x14ac:dyDescent="0.25">
      <c r="A19" s="126" t="s">
        <v>14</v>
      </c>
      <c r="B19" s="126"/>
      <c r="C19" s="126"/>
      <c r="D19" s="126"/>
      <c r="E19" s="126"/>
      <c r="F19" s="3"/>
      <c r="G19" s="4"/>
      <c r="H19" s="4"/>
      <c r="I19" s="4"/>
      <c r="J19" s="4"/>
      <c r="K19" s="4"/>
      <c r="L19" s="4"/>
      <c r="M19" s="75"/>
      <c r="N19" s="4"/>
      <c r="P19" s="12"/>
    </row>
    <row r="21" spans="1:16" x14ac:dyDescent="0.25">
      <c r="A21" s="149" t="s">
        <v>96</v>
      </c>
      <c r="B21" s="149"/>
      <c r="C21" s="149"/>
      <c r="D21" s="149"/>
      <c r="E21" s="149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12" t="s">
        <v>27</v>
      </c>
      <c r="B23" s="9" t="s">
        <v>10</v>
      </c>
      <c r="C23" s="46">
        <f>SUM(I6:I8)</f>
        <v>0</v>
      </c>
      <c r="D23" s="46">
        <v>0</v>
      </c>
      <c r="E23" s="46">
        <f>C23+D23</f>
        <v>0</v>
      </c>
    </row>
    <row r="24" spans="1:16" x14ac:dyDescent="0.25">
      <c r="A24" s="112"/>
      <c r="B24" s="9" t="s">
        <v>13</v>
      </c>
      <c r="C24" s="46">
        <f>SUM((I18))</f>
        <v>648000</v>
      </c>
      <c r="D24" s="46">
        <v>114.35</v>
      </c>
      <c r="E24" s="46">
        <f>C24+D24</f>
        <v>648114.35</v>
      </c>
    </row>
    <row r="25" spans="1:16" x14ac:dyDescent="0.25">
      <c r="A25" s="112"/>
      <c r="B25" s="4" t="s">
        <v>28</v>
      </c>
      <c r="C25" s="62">
        <f>C23+C24</f>
        <v>648000</v>
      </c>
      <c r="D25" s="62">
        <v>0</v>
      </c>
      <c r="E25" s="62">
        <f t="shared" ref="E25" si="0">E23+E24</f>
        <v>648114.35</v>
      </c>
    </row>
    <row r="26" spans="1:16" ht="14.25" customHeight="1" x14ac:dyDescent="0.25">
      <c r="A26" s="112" t="s">
        <v>29</v>
      </c>
      <c r="B26" s="9" t="s">
        <v>11</v>
      </c>
      <c r="C26" s="39">
        <f>I14+I16</f>
        <v>1813050</v>
      </c>
      <c r="D26" s="39">
        <f>J14+J16</f>
        <v>319950</v>
      </c>
      <c r="E26" s="39">
        <f>C26+D26</f>
        <v>2133000</v>
      </c>
    </row>
    <row r="27" spans="1:16" x14ac:dyDescent="0.25">
      <c r="A27" s="112"/>
      <c r="B27" s="4" t="s">
        <v>30</v>
      </c>
      <c r="C27" s="39">
        <f>SUM(C26)</f>
        <v>1813050</v>
      </c>
      <c r="D27" s="39">
        <f>SUM(D26)</f>
        <v>319950</v>
      </c>
      <c r="E27" s="39">
        <f>C27+D27</f>
        <v>2133000</v>
      </c>
    </row>
    <row r="28" spans="1:16" ht="14.25" customHeight="1" x14ac:dyDescent="0.25">
      <c r="A28" s="112" t="s">
        <v>31</v>
      </c>
      <c r="B28" s="11" t="s">
        <v>12</v>
      </c>
      <c r="C28" s="41">
        <f>SUM(I9,I10,I12,I13)</f>
        <v>970368</v>
      </c>
      <c r="D28" s="46">
        <f>SUM(J9,J10,J12,J13,K9,K10,K12,K13,L9,L10,L12,L13)</f>
        <v>545832</v>
      </c>
      <c r="E28" s="46">
        <f>C28+D28</f>
        <v>1516200</v>
      </c>
    </row>
    <row r="29" spans="1:16" x14ac:dyDescent="0.25">
      <c r="A29" s="112"/>
      <c r="B29" s="4" t="s">
        <v>32</v>
      </c>
      <c r="C29" s="62">
        <f>SUM(C28)</f>
        <v>970368</v>
      </c>
      <c r="D29" s="62">
        <f>SUM(D28)</f>
        <v>545832</v>
      </c>
      <c r="E29" s="46">
        <f>C29+D29</f>
        <v>1516200</v>
      </c>
    </row>
    <row r="30" spans="1:16" x14ac:dyDescent="0.25">
      <c r="A30" s="7" t="s">
        <v>33</v>
      </c>
      <c r="B30" s="54" t="s">
        <v>14</v>
      </c>
      <c r="C30" s="64">
        <f>C25+C27+C29</f>
        <v>3431418</v>
      </c>
      <c r="D30" s="64">
        <f>D25+D27+D29</f>
        <v>865782</v>
      </c>
      <c r="E30" s="39">
        <f>C30+D30</f>
        <v>4297200</v>
      </c>
    </row>
    <row r="32" spans="1:16" x14ac:dyDescent="0.25">
      <c r="A32" s="141" t="s">
        <v>77</v>
      </c>
      <c r="B32" s="141"/>
      <c r="C32" s="141"/>
      <c r="D32" s="141"/>
      <c r="E32" s="141"/>
      <c r="F32" s="141"/>
      <c r="G32" s="141"/>
      <c r="H32" s="141"/>
      <c r="I32" s="141"/>
      <c r="J32" s="141"/>
    </row>
    <row r="33" spans="1:11" ht="15" customHeight="1" x14ac:dyDescent="0.25">
      <c r="A33" s="142" t="s">
        <v>56</v>
      </c>
      <c r="B33" s="142" t="s">
        <v>4</v>
      </c>
      <c r="C33" s="142" t="s">
        <v>5</v>
      </c>
      <c r="D33" s="142" t="s">
        <v>58</v>
      </c>
      <c r="E33" s="137" t="s">
        <v>81</v>
      </c>
      <c r="F33" s="138"/>
      <c r="G33" s="138"/>
      <c r="H33" s="138"/>
      <c r="I33" s="138"/>
      <c r="J33" s="139"/>
      <c r="K33" s="128" t="s">
        <v>82</v>
      </c>
    </row>
    <row r="34" spans="1:11" ht="14.25" customHeight="1" x14ac:dyDescent="0.25">
      <c r="A34" s="142"/>
      <c r="B34" s="142"/>
      <c r="C34" s="142"/>
      <c r="D34" s="142"/>
      <c r="E34" s="129" t="s">
        <v>7</v>
      </c>
      <c r="F34" s="130" t="s">
        <v>59</v>
      </c>
      <c r="G34" s="130"/>
      <c r="H34" s="131" t="s">
        <v>9</v>
      </c>
      <c r="I34" s="132"/>
      <c r="J34" s="133"/>
      <c r="K34" s="128"/>
    </row>
    <row r="35" spans="1:11" ht="14.25" customHeight="1" x14ac:dyDescent="0.25">
      <c r="A35" s="142"/>
      <c r="B35" s="142"/>
      <c r="C35" s="142"/>
      <c r="D35" s="142"/>
      <c r="E35" s="129"/>
      <c r="F35" s="130"/>
      <c r="G35" s="130"/>
      <c r="H35" s="134"/>
      <c r="I35" s="135"/>
      <c r="J35" s="136"/>
      <c r="K35" s="128"/>
    </row>
    <row r="36" spans="1:11" ht="51" x14ac:dyDescent="0.25">
      <c r="A36" s="142"/>
      <c r="B36" s="142"/>
      <c r="C36" s="142"/>
      <c r="D36" s="142"/>
      <c r="E36" s="129"/>
      <c r="F36" s="101" t="s">
        <v>60</v>
      </c>
      <c r="G36" s="102" t="s">
        <v>61</v>
      </c>
      <c r="H36" s="101" t="s">
        <v>62</v>
      </c>
      <c r="I36" s="101" t="s">
        <v>38</v>
      </c>
      <c r="J36" s="91" t="s">
        <v>109</v>
      </c>
      <c r="K36" s="128"/>
    </row>
    <row r="37" spans="1:11" x14ac:dyDescent="0.25">
      <c r="A37" s="29" t="s">
        <v>11</v>
      </c>
      <c r="B37" s="30">
        <v>2</v>
      </c>
      <c r="C37" s="31" t="s">
        <v>49</v>
      </c>
      <c r="D37" s="31" t="s">
        <v>50</v>
      </c>
      <c r="E37" s="40">
        <v>2133000</v>
      </c>
      <c r="F37" s="40">
        <f t="shared" ref="F37:I37" si="1">SUM(I14,I16,I17)</f>
        <v>1813050</v>
      </c>
      <c r="G37" s="40">
        <f t="shared" si="1"/>
        <v>319950</v>
      </c>
      <c r="H37" s="40">
        <f t="shared" si="1"/>
        <v>0</v>
      </c>
      <c r="I37" s="40">
        <f t="shared" si="1"/>
        <v>0</v>
      </c>
      <c r="J37" s="100">
        <v>0</v>
      </c>
      <c r="K37" s="49">
        <f>SUM(N14,N16,N17)</f>
        <v>0</v>
      </c>
    </row>
    <row r="38" spans="1:11" ht="14.25" customHeight="1" x14ac:dyDescent="0.25">
      <c r="A38" s="140" t="s">
        <v>12</v>
      </c>
      <c r="B38" s="32" t="s">
        <v>45</v>
      </c>
      <c r="C38" s="32" t="s">
        <v>46</v>
      </c>
      <c r="D38" s="32" t="s">
        <v>48</v>
      </c>
      <c r="E38" s="49">
        <f t="shared" ref="E38:I38" si="2">SUM(H10,H12,H13)</f>
        <v>3200867</v>
      </c>
      <c r="F38" s="49">
        <f t="shared" si="2"/>
        <v>970368</v>
      </c>
      <c r="G38" s="49">
        <f t="shared" si="2"/>
        <v>545832</v>
      </c>
      <c r="H38" s="49">
        <f t="shared" si="2"/>
        <v>0</v>
      </c>
      <c r="I38" s="49">
        <f t="shared" si="2"/>
        <v>0</v>
      </c>
      <c r="J38" s="49">
        <f>SUM(M10:M13)</f>
        <v>1813717</v>
      </c>
      <c r="K38" s="49">
        <f>SUM(N10,N12,N13)</f>
        <v>0</v>
      </c>
    </row>
    <row r="39" spans="1:11" x14ac:dyDescent="0.25">
      <c r="A39" s="140"/>
      <c r="B39" s="32" t="s">
        <v>45</v>
      </c>
      <c r="C39" s="32" t="s">
        <v>46</v>
      </c>
      <c r="D39" s="32" t="s">
        <v>47</v>
      </c>
      <c r="E39" s="49">
        <f t="shared" ref="E39:I39" si="3">SUM(H9)</f>
        <v>0</v>
      </c>
      <c r="F39" s="49">
        <f t="shared" si="3"/>
        <v>0</v>
      </c>
      <c r="G39" s="49">
        <f t="shared" si="3"/>
        <v>0</v>
      </c>
      <c r="H39" s="49">
        <f t="shared" si="3"/>
        <v>0</v>
      </c>
      <c r="I39" s="49">
        <f t="shared" si="3"/>
        <v>0</v>
      </c>
      <c r="J39" s="100">
        <v>0</v>
      </c>
      <c r="K39" s="49">
        <f>SUM(N9)</f>
        <v>0</v>
      </c>
    </row>
    <row r="40" spans="1:11" x14ac:dyDescent="0.25">
      <c r="A40" s="29" t="s">
        <v>10</v>
      </c>
      <c r="B40" s="33">
        <v>4</v>
      </c>
      <c r="C40" s="33" t="s">
        <v>40</v>
      </c>
      <c r="D40" s="34" t="s">
        <v>41</v>
      </c>
      <c r="E40" s="49">
        <f t="shared" ref="E40:I40" si="4">SUM(H6,H7,H8,H15)</f>
        <v>0</v>
      </c>
      <c r="F40" s="49">
        <f t="shared" si="4"/>
        <v>0</v>
      </c>
      <c r="G40" s="49">
        <f t="shared" si="4"/>
        <v>0</v>
      </c>
      <c r="H40" s="49">
        <f t="shared" si="4"/>
        <v>0</v>
      </c>
      <c r="I40" s="49">
        <f t="shared" si="4"/>
        <v>0</v>
      </c>
      <c r="J40" s="100">
        <v>0</v>
      </c>
      <c r="K40" s="49">
        <f>SUM(N6,N7,N8,N15)</f>
        <v>0</v>
      </c>
    </row>
    <row r="41" spans="1:11" x14ac:dyDescent="0.25">
      <c r="A41" s="35" t="s">
        <v>13</v>
      </c>
      <c r="B41" s="11">
        <v>4</v>
      </c>
      <c r="C41" s="11"/>
      <c r="D41" s="36" t="s">
        <v>54</v>
      </c>
      <c r="E41" s="49">
        <f t="shared" ref="E41:I41" si="5">SUM(H18)</f>
        <v>762350</v>
      </c>
      <c r="F41" s="49">
        <f t="shared" si="5"/>
        <v>648000</v>
      </c>
      <c r="G41" s="49">
        <f t="shared" si="5"/>
        <v>0</v>
      </c>
      <c r="H41" s="49">
        <f t="shared" si="5"/>
        <v>114350</v>
      </c>
      <c r="I41" s="49">
        <f t="shared" si="5"/>
        <v>0</v>
      </c>
      <c r="J41" s="100">
        <v>0</v>
      </c>
      <c r="K41" s="49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H34:J35"/>
    <mergeCell ref="E33:J33"/>
    <mergeCell ref="A10:A13"/>
    <mergeCell ref="A14:A17"/>
    <mergeCell ref="A19:E19"/>
    <mergeCell ref="A21:E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L41"/>
  <sheetViews>
    <sheetView topLeftCell="A10" zoomScaleNormal="100" workbookViewId="0">
      <selection activeCell="G26" sqref="G26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10" width="11.42578125" style="8"/>
    <col min="11" max="11" width="13.5703125" style="8" customWidth="1"/>
    <col min="12" max="13" width="9.855468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24" t="s">
        <v>78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6" ht="14.25" customHeight="1" x14ac:dyDescent="0.25">
      <c r="A2" s="112" t="s">
        <v>0</v>
      </c>
      <c r="B2" s="112" t="s">
        <v>108</v>
      </c>
      <c r="C2" s="112" t="s">
        <v>1</v>
      </c>
      <c r="D2" s="112" t="s">
        <v>2</v>
      </c>
      <c r="E2" s="112"/>
      <c r="F2" s="112"/>
      <c r="G2" s="112"/>
      <c r="H2" s="113" t="s">
        <v>81</v>
      </c>
      <c r="I2" s="114"/>
      <c r="J2" s="114"/>
      <c r="K2" s="114"/>
      <c r="L2" s="114"/>
      <c r="M2" s="115"/>
      <c r="N2" s="112" t="s">
        <v>82</v>
      </c>
    </row>
    <row r="3" spans="1:16" ht="14.25" customHeight="1" x14ac:dyDescent="0.25">
      <c r="A3" s="112"/>
      <c r="B3" s="112"/>
      <c r="C3" s="112"/>
      <c r="D3" s="112"/>
      <c r="E3" s="112"/>
      <c r="F3" s="112"/>
      <c r="G3" s="112"/>
      <c r="H3" s="116"/>
      <c r="I3" s="117"/>
      <c r="J3" s="117"/>
      <c r="K3" s="117"/>
      <c r="L3" s="117"/>
      <c r="M3" s="118"/>
      <c r="N3" s="112"/>
    </row>
    <row r="4" spans="1:16" ht="14.25" customHeight="1" x14ac:dyDescent="0.25">
      <c r="A4" s="112"/>
      <c r="B4" s="112"/>
      <c r="C4" s="112"/>
      <c r="D4" s="119" t="s">
        <v>3</v>
      </c>
      <c r="E4" s="119" t="s">
        <v>4</v>
      </c>
      <c r="F4" s="119" t="s">
        <v>5</v>
      </c>
      <c r="G4" s="119" t="s">
        <v>6</v>
      </c>
      <c r="H4" s="119" t="s">
        <v>64</v>
      </c>
      <c r="I4" s="119" t="s">
        <v>8</v>
      </c>
      <c r="J4" s="119"/>
      <c r="K4" s="161" t="s">
        <v>9</v>
      </c>
      <c r="L4" s="162"/>
      <c r="M4" s="163"/>
      <c r="N4" s="112"/>
    </row>
    <row r="5" spans="1:16" ht="55.5" customHeight="1" x14ac:dyDescent="0.25">
      <c r="A5" s="112"/>
      <c r="B5" s="112"/>
      <c r="C5" s="112"/>
      <c r="D5" s="119"/>
      <c r="E5" s="119"/>
      <c r="F5" s="119"/>
      <c r="G5" s="119"/>
      <c r="H5" s="119"/>
      <c r="I5" s="91" t="s">
        <v>35</v>
      </c>
      <c r="J5" s="91" t="s">
        <v>36</v>
      </c>
      <c r="K5" s="91" t="s">
        <v>37</v>
      </c>
      <c r="L5" s="91" t="s">
        <v>38</v>
      </c>
      <c r="M5" s="91" t="s">
        <v>109</v>
      </c>
      <c r="N5" s="112"/>
    </row>
    <row r="6" spans="1:16" x14ac:dyDescent="0.25">
      <c r="A6" s="5" t="s">
        <v>15</v>
      </c>
      <c r="B6" s="94" t="s">
        <v>16</v>
      </c>
      <c r="C6" s="94"/>
      <c r="D6" s="90" t="s">
        <v>10</v>
      </c>
      <c r="E6" s="104">
        <v>4</v>
      </c>
      <c r="F6" s="105" t="s">
        <v>40</v>
      </c>
      <c r="G6" s="50" t="s">
        <v>41</v>
      </c>
      <c r="H6" s="53">
        <f>I6/0.95</f>
        <v>0</v>
      </c>
      <c r="I6" s="53">
        <v>0</v>
      </c>
      <c r="J6" s="53">
        <v>0</v>
      </c>
      <c r="K6" s="53">
        <f>H6*0.05</f>
        <v>0</v>
      </c>
      <c r="L6" s="53">
        <v>0</v>
      </c>
      <c r="M6" s="53">
        <v>0</v>
      </c>
      <c r="N6" s="53">
        <v>0</v>
      </c>
      <c r="P6" s="12"/>
    </row>
    <row r="7" spans="1:16" ht="14.25" customHeight="1" x14ac:dyDescent="0.25">
      <c r="A7" s="5" t="s">
        <v>17</v>
      </c>
      <c r="B7" s="94" t="s">
        <v>18</v>
      </c>
      <c r="C7" s="94"/>
      <c r="D7" s="90" t="s">
        <v>10</v>
      </c>
      <c r="E7" s="103">
        <v>4</v>
      </c>
      <c r="F7" s="88" t="s">
        <v>40</v>
      </c>
      <c r="G7" s="50" t="s">
        <v>41</v>
      </c>
      <c r="H7" s="53">
        <f>I7/0.95</f>
        <v>0</v>
      </c>
      <c r="I7" s="53">
        <v>0</v>
      </c>
      <c r="J7" s="53">
        <v>0</v>
      </c>
      <c r="K7" s="53">
        <f>H7*0.05</f>
        <v>0</v>
      </c>
      <c r="L7" s="53">
        <v>0</v>
      </c>
      <c r="M7" s="53">
        <v>0</v>
      </c>
      <c r="N7" s="53">
        <v>0</v>
      </c>
      <c r="P7" s="12"/>
    </row>
    <row r="8" spans="1:16" ht="14.25" customHeight="1" x14ac:dyDescent="0.25">
      <c r="A8" s="5" t="s">
        <v>42</v>
      </c>
      <c r="B8" s="94" t="s">
        <v>43</v>
      </c>
      <c r="C8" s="94"/>
      <c r="D8" s="90" t="s">
        <v>10</v>
      </c>
      <c r="E8" s="103">
        <v>4</v>
      </c>
      <c r="F8" s="88" t="s">
        <v>40</v>
      </c>
      <c r="G8" s="50" t="s">
        <v>41</v>
      </c>
      <c r="H8" s="53">
        <f>I8/0.95</f>
        <v>0</v>
      </c>
      <c r="I8" s="53">
        <v>0</v>
      </c>
      <c r="J8" s="53">
        <v>0</v>
      </c>
      <c r="K8" s="53">
        <f>H8*0.025</f>
        <v>0</v>
      </c>
      <c r="L8" s="53">
        <f>H8*0.025</f>
        <v>0</v>
      </c>
      <c r="M8" s="53">
        <v>0</v>
      </c>
      <c r="N8" s="53">
        <v>0</v>
      </c>
      <c r="P8" s="12"/>
    </row>
    <row r="9" spans="1:16" x14ac:dyDescent="0.25">
      <c r="A9" s="5" t="s">
        <v>44</v>
      </c>
      <c r="B9" s="94" t="s">
        <v>103</v>
      </c>
      <c r="C9" s="94"/>
      <c r="D9" s="90" t="s">
        <v>12</v>
      </c>
      <c r="E9" s="88" t="s">
        <v>45</v>
      </c>
      <c r="F9" s="88" t="s">
        <v>46</v>
      </c>
      <c r="G9" s="50" t="s">
        <v>47</v>
      </c>
      <c r="H9" s="53">
        <v>0</v>
      </c>
      <c r="I9" s="53">
        <v>0</v>
      </c>
      <c r="J9" s="53">
        <f>H9*0.8*0.25</f>
        <v>0</v>
      </c>
      <c r="K9" s="53">
        <v>0</v>
      </c>
      <c r="L9" s="53">
        <v>0</v>
      </c>
      <c r="M9" s="53">
        <v>0</v>
      </c>
      <c r="N9" s="53">
        <v>0</v>
      </c>
      <c r="O9" s="14" t="s">
        <v>101</v>
      </c>
      <c r="P9" s="12"/>
    </row>
    <row r="10" spans="1:16" ht="14.25" customHeight="1" x14ac:dyDescent="0.25">
      <c r="A10" s="148" t="s">
        <v>19</v>
      </c>
      <c r="B10" s="94" t="s">
        <v>104</v>
      </c>
      <c r="C10" s="94"/>
      <c r="D10" s="90" t="s">
        <v>12</v>
      </c>
      <c r="E10" s="88" t="s">
        <v>45</v>
      </c>
      <c r="F10" s="88" t="s">
        <v>46</v>
      </c>
      <c r="G10" s="50" t="s">
        <v>48</v>
      </c>
      <c r="H10" s="53">
        <v>1516200</v>
      </c>
      <c r="I10" s="53">
        <v>485184</v>
      </c>
      <c r="J10" s="53">
        <v>272916</v>
      </c>
      <c r="K10" s="53">
        <v>0</v>
      </c>
      <c r="L10" s="53">
        <v>0</v>
      </c>
      <c r="M10" s="53">
        <v>758100</v>
      </c>
      <c r="N10" s="53">
        <v>0</v>
      </c>
      <c r="O10" s="14" t="s">
        <v>98</v>
      </c>
      <c r="P10" s="12"/>
    </row>
    <row r="11" spans="1:16" ht="14.25" customHeight="1" x14ac:dyDescent="0.25">
      <c r="A11" s="148"/>
      <c r="B11" s="94" t="s">
        <v>107</v>
      </c>
      <c r="C11" s="95"/>
      <c r="D11" s="86" t="s">
        <v>12</v>
      </c>
      <c r="E11" s="50" t="s">
        <v>45</v>
      </c>
      <c r="F11" s="87" t="s">
        <v>46</v>
      </c>
      <c r="G11" s="87" t="s">
        <v>48</v>
      </c>
      <c r="H11" s="73">
        <v>1250000</v>
      </c>
      <c r="I11" s="73">
        <v>640000</v>
      </c>
      <c r="J11" s="73">
        <v>360000</v>
      </c>
      <c r="K11" s="73">
        <v>0</v>
      </c>
      <c r="L11" s="73">
        <v>0</v>
      </c>
      <c r="M11" s="73">
        <v>250000</v>
      </c>
      <c r="N11" s="73">
        <v>0</v>
      </c>
      <c r="O11" s="16" t="s">
        <v>102</v>
      </c>
      <c r="P11" s="12"/>
    </row>
    <row r="12" spans="1:16" x14ac:dyDescent="0.25">
      <c r="A12" s="148"/>
      <c r="B12" s="96" t="s">
        <v>105</v>
      </c>
      <c r="C12" s="96"/>
      <c r="D12" s="90" t="s">
        <v>12</v>
      </c>
      <c r="E12" s="88" t="s">
        <v>45</v>
      </c>
      <c r="F12" s="88" t="s">
        <v>46</v>
      </c>
      <c r="G12" s="50" t="s">
        <v>48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14" t="s">
        <v>99</v>
      </c>
      <c r="P12" s="12"/>
    </row>
    <row r="13" spans="1:16" x14ac:dyDescent="0.25">
      <c r="A13" s="148"/>
      <c r="B13" s="96" t="s">
        <v>106</v>
      </c>
      <c r="C13" s="96"/>
      <c r="D13" s="90" t="s">
        <v>12</v>
      </c>
      <c r="E13" s="88" t="s">
        <v>45</v>
      </c>
      <c r="F13" s="88" t="s">
        <v>46</v>
      </c>
      <c r="G13" s="50" t="s">
        <v>48</v>
      </c>
      <c r="H13" s="69">
        <v>1684667</v>
      </c>
      <c r="I13" s="53">
        <v>485184</v>
      </c>
      <c r="J13" s="53">
        <v>272916</v>
      </c>
      <c r="K13" s="53">
        <v>0</v>
      </c>
      <c r="L13" s="53">
        <v>0</v>
      </c>
      <c r="M13" s="53">
        <v>926567</v>
      </c>
      <c r="N13" s="53">
        <v>0</v>
      </c>
      <c r="O13" s="14" t="s">
        <v>100</v>
      </c>
      <c r="P13" s="12"/>
    </row>
    <row r="14" spans="1:16" ht="14.25" customHeight="1" x14ac:dyDescent="0.25">
      <c r="A14" s="148" t="s">
        <v>21</v>
      </c>
      <c r="B14" s="96" t="s">
        <v>22</v>
      </c>
      <c r="C14" s="96"/>
      <c r="D14" s="90" t="s">
        <v>20</v>
      </c>
      <c r="E14" s="86">
        <v>2</v>
      </c>
      <c r="F14" s="87" t="s">
        <v>49</v>
      </c>
      <c r="G14" s="52" t="s">
        <v>50</v>
      </c>
      <c r="H14" s="53">
        <v>0</v>
      </c>
      <c r="I14" s="53">
        <v>0</v>
      </c>
      <c r="J14" s="53">
        <f>H14/2*0.1</f>
        <v>0</v>
      </c>
      <c r="K14" s="53">
        <f>H14/2*0.05</f>
        <v>0</v>
      </c>
      <c r="L14" s="53">
        <v>0</v>
      </c>
      <c r="M14" s="53">
        <v>0</v>
      </c>
      <c r="N14" s="53">
        <v>0</v>
      </c>
      <c r="P14" s="12"/>
    </row>
    <row r="15" spans="1:16" x14ac:dyDescent="0.25">
      <c r="A15" s="148"/>
      <c r="B15" s="96" t="s">
        <v>23</v>
      </c>
      <c r="C15" s="96"/>
      <c r="D15" s="90" t="s">
        <v>10</v>
      </c>
      <c r="E15" s="84">
        <v>4</v>
      </c>
      <c r="F15" s="85" t="s">
        <v>40</v>
      </c>
      <c r="G15" s="52" t="s">
        <v>41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P15" s="12"/>
    </row>
    <row r="16" spans="1:16" x14ac:dyDescent="0.25">
      <c r="A16" s="148"/>
      <c r="B16" s="96" t="s">
        <v>51</v>
      </c>
      <c r="C16" s="96"/>
      <c r="D16" s="90" t="s">
        <v>20</v>
      </c>
      <c r="E16" s="86">
        <v>2</v>
      </c>
      <c r="F16" s="87" t="s">
        <v>49</v>
      </c>
      <c r="G16" s="52" t="s">
        <v>50</v>
      </c>
      <c r="H16" s="53">
        <v>0</v>
      </c>
      <c r="I16" s="53">
        <v>0</v>
      </c>
      <c r="J16" s="53">
        <f>H16*0.1</f>
        <v>0</v>
      </c>
      <c r="K16" s="53">
        <f>H16*0.05</f>
        <v>0</v>
      </c>
      <c r="L16" s="53">
        <v>0</v>
      </c>
      <c r="M16" s="53">
        <v>0</v>
      </c>
      <c r="N16" s="53">
        <v>0</v>
      </c>
      <c r="P16" s="12"/>
    </row>
    <row r="17" spans="1:16" s="18" customFormat="1" ht="14.25" hidden="1" x14ac:dyDescent="0.25">
      <c r="A17" s="148"/>
      <c r="B17" s="98" t="s">
        <v>52</v>
      </c>
      <c r="C17" s="98"/>
      <c r="D17" s="89" t="s">
        <v>20</v>
      </c>
      <c r="E17" s="89">
        <v>2</v>
      </c>
      <c r="F17" s="51" t="s">
        <v>49</v>
      </c>
      <c r="G17" s="51" t="s">
        <v>50</v>
      </c>
      <c r="H17" s="44">
        <f>I17/0.85</f>
        <v>0</v>
      </c>
      <c r="I17" s="44">
        <v>0</v>
      </c>
      <c r="J17" s="44">
        <v>0</v>
      </c>
      <c r="K17" s="44">
        <v>0</v>
      </c>
      <c r="L17" s="44">
        <f>H17*0.15</f>
        <v>0</v>
      </c>
      <c r="M17" s="44"/>
      <c r="N17" s="44">
        <v>0</v>
      </c>
      <c r="P17" s="19"/>
    </row>
    <row r="18" spans="1:16" x14ac:dyDescent="0.25">
      <c r="A18" s="20" t="s">
        <v>24</v>
      </c>
      <c r="B18" s="99" t="s">
        <v>25</v>
      </c>
      <c r="C18" s="96"/>
      <c r="D18" s="90" t="s">
        <v>53</v>
      </c>
      <c r="E18" s="90">
        <v>4</v>
      </c>
      <c r="F18" s="90"/>
      <c r="G18" s="52" t="s">
        <v>54</v>
      </c>
      <c r="H18" s="47">
        <f>762.35*1000</f>
        <v>762350</v>
      </c>
      <c r="I18" s="47">
        <f>648*1000</f>
        <v>648000</v>
      </c>
      <c r="J18" s="47">
        <v>0</v>
      </c>
      <c r="K18" s="47">
        <f>114.35*1000</f>
        <v>114350</v>
      </c>
      <c r="L18" s="47">
        <v>0</v>
      </c>
      <c r="M18" s="53">
        <v>0</v>
      </c>
      <c r="N18" s="47">
        <v>0</v>
      </c>
      <c r="P18" s="12"/>
    </row>
    <row r="19" spans="1:16" ht="14.25" customHeight="1" x14ac:dyDescent="0.25">
      <c r="A19" s="126" t="s">
        <v>14</v>
      </c>
      <c r="B19" s="126"/>
      <c r="C19" s="126"/>
      <c r="D19" s="126"/>
      <c r="E19" s="126"/>
      <c r="F19" s="3"/>
      <c r="G19" s="4"/>
      <c r="H19" s="4"/>
      <c r="I19" s="4"/>
      <c r="J19" s="4"/>
      <c r="K19" s="4"/>
      <c r="L19" s="4"/>
      <c r="M19" s="75"/>
      <c r="N19" s="4"/>
      <c r="P19" s="12"/>
    </row>
    <row r="21" spans="1:16" x14ac:dyDescent="0.25">
      <c r="A21" s="149" t="s">
        <v>97</v>
      </c>
      <c r="B21" s="149"/>
      <c r="C21" s="149"/>
      <c r="D21" s="149"/>
      <c r="E21" s="149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12" t="s">
        <v>27</v>
      </c>
      <c r="B23" s="9" t="s">
        <v>10</v>
      </c>
      <c r="C23" s="46">
        <f>SUM(I6,I7,I8,I15)</f>
        <v>0</v>
      </c>
      <c r="D23" s="46">
        <f>SUM(J6,J7,J8,J15,K6,K7,K8,K15,L6,L7,L8,L15)</f>
        <v>0</v>
      </c>
      <c r="E23" s="46">
        <f>SUM(H6,H7,H8,H15)</f>
        <v>0</v>
      </c>
    </row>
    <row r="24" spans="1:16" x14ac:dyDescent="0.25">
      <c r="A24" s="112"/>
      <c r="B24" s="9" t="s">
        <v>13</v>
      </c>
      <c r="C24" s="46">
        <f>SUM((I18))</f>
        <v>648000</v>
      </c>
      <c r="D24" s="46">
        <v>114.35</v>
      </c>
      <c r="E24" s="46">
        <f>SUM(H18)</f>
        <v>762350</v>
      </c>
    </row>
    <row r="25" spans="1:16" x14ac:dyDescent="0.25">
      <c r="A25" s="112"/>
      <c r="B25" s="4" t="s">
        <v>28</v>
      </c>
      <c r="C25" s="62">
        <f>SUM(C23:C24)</f>
        <v>648000</v>
      </c>
      <c r="D25" s="62">
        <f>SUM(D23:D24)</f>
        <v>114.35</v>
      </c>
      <c r="E25" s="62">
        <f>SUM(E23,E24)</f>
        <v>762350</v>
      </c>
    </row>
    <row r="26" spans="1:16" ht="14.25" customHeight="1" x14ac:dyDescent="0.25">
      <c r="A26" s="112" t="s">
        <v>29</v>
      </c>
      <c r="B26" s="9" t="s">
        <v>11</v>
      </c>
      <c r="C26" s="46">
        <f>SUM(I14,I16,I17)</f>
        <v>0</v>
      </c>
      <c r="D26" s="46">
        <f>SUM(J14,J16,J17,K14,K16,K17,L14,L16,L17)</f>
        <v>0</v>
      </c>
      <c r="E26" s="46">
        <f>SUM(H14,H16,H17)</f>
        <v>0</v>
      </c>
    </row>
    <row r="27" spans="1:16" x14ac:dyDescent="0.25">
      <c r="A27" s="112"/>
      <c r="B27" s="4" t="s">
        <v>30</v>
      </c>
      <c r="C27" s="62">
        <f>SUM(C26)</f>
        <v>0</v>
      </c>
      <c r="D27" s="62">
        <f>SUM(D26)</f>
        <v>0</v>
      </c>
      <c r="E27" s="62">
        <f>SUM(E26)</f>
        <v>0</v>
      </c>
    </row>
    <row r="28" spans="1:16" ht="14.25" customHeight="1" x14ac:dyDescent="0.25">
      <c r="A28" s="112" t="s">
        <v>31</v>
      </c>
      <c r="B28" s="11" t="s">
        <v>12</v>
      </c>
      <c r="C28" s="41">
        <f>SUM(I9,I10,I12,I13)</f>
        <v>970368</v>
      </c>
      <c r="D28" s="46">
        <f>SUM(J9,J10,J12,J13,K9,K10,K12,K13,L9,L10,L12,L13)</f>
        <v>545832</v>
      </c>
      <c r="E28" s="46">
        <f>SUM(H9,H10,H12,H13)</f>
        <v>3200867</v>
      </c>
    </row>
    <row r="29" spans="1:16" x14ac:dyDescent="0.25">
      <c r="A29" s="112"/>
      <c r="B29" s="4" t="s">
        <v>32</v>
      </c>
      <c r="C29" s="62">
        <f>SUM(C28)</f>
        <v>970368</v>
      </c>
      <c r="D29" s="62">
        <f>SUM(D28)</f>
        <v>545832</v>
      </c>
      <c r="E29" s="62">
        <f>SUM(E28)</f>
        <v>3200867</v>
      </c>
    </row>
    <row r="30" spans="1:16" x14ac:dyDescent="0.25">
      <c r="A30" s="7" t="s">
        <v>33</v>
      </c>
      <c r="B30" s="4" t="s">
        <v>14</v>
      </c>
      <c r="C30" s="65">
        <f>C25+C27+C29</f>
        <v>1618368</v>
      </c>
      <c r="D30" s="65">
        <f>D25+D27+D29</f>
        <v>545946.35</v>
      </c>
      <c r="E30" s="65">
        <f>E25+E27+E29</f>
        <v>3963217</v>
      </c>
    </row>
    <row r="32" spans="1:16" x14ac:dyDescent="0.25">
      <c r="A32" s="141" t="s">
        <v>79</v>
      </c>
      <c r="B32" s="141"/>
      <c r="C32" s="141"/>
      <c r="D32" s="141"/>
      <c r="E32" s="141"/>
      <c r="F32" s="141"/>
      <c r="G32" s="141"/>
      <c r="H32" s="141"/>
      <c r="I32" s="141"/>
      <c r="J32" s="141"/>
    </row>
    <row r="33" spans="1:11" ht="15" customHeight="1" x14ac:dyDescent="0.25">
      <c r="A33" s="142" t="s">
        <v>56</v>
      </c>
      <c r="B33" s="142" t="s">
        <v>80</v>
      </c>
      <c r="C33" s="142" t="s">
        <v>5</v>
      </c>
      <c r="D33" s="142" t="s">
        <v>58</v>
      </c>
      <c r="E33" s="137" t="s">
        <v>84</v>
      </c>
      <c r="F33" s="138"/>
      <c r="G33" s="138"/>
      <c r="H33" s="138"/>
      <c r="I33" s="138"/>
      <c r="J33" s="139"/>
      <c r="K33" s="128" t="s">
        <v>82</v>
      </c>
    </row>
    <row r="34" spans="1:11" ht="14.25" customHeight="1" x14ac:dyDescent="0.25">
      <c r="A34" s="142"/>
      <c r="B34" s="142"/>
      <c r="C34" s="142"/>
      <c r="D34" s="142"/>
      <c r="E34" s="129" t="s">
        <v>7</v>
      </c>
      <c r="F34" s="130" t="s">
        <v>59</v>
      </c>
      <c r="G34" s="130"/>
      <c r="H34" s="131" t="s">
        <v>9</v>
      </c>
      <c r="I34" s="132"/>
      <c r="J34" s="133"/>
      <c r="K34" s="128"/>
    </row>
    <row r="35" spans="1:11" ht="14.25" customHeight="1" x14ac:dyDescent="0.25">
      <c r="A35" s="142"/>
      <c r="B35" s="142"/>
      <c r="C35" s="142"/>
      <c r="D35" s="142"/>
      <c r="E35" s="129"/>
      <c r="F35" s="130"/>
      <c r="G35" s="130"/>
      <c r="H35" s="134"/>
      <c r="I35" s="135"/>
      <c r="J35" s="136"/>
      <c r="K35" s="128"/>
    </row>
    <row r="36" spans="1:11" ht="63.75" x14ac:dyDescent="0.25">
      <c r="A36" s="142"/>
      <c r="B36" s="142"/>
      <c r="C36" s="142"/>
      <c r="D36" s="142"/>
      <c r="E36" s="129"/>
      <c r="F36" s="101" t="s">
        <v>60</v>
      </c>
      <c r="G36" s="102" t="s">
        <v>61</v>
      </c>
      <c r="H36" s="101" t="s">
        <v>62</v>
      </c>
      <c r="I36" s="101" t="s">
        <v>38</v>
      </c>
      <c r="J36" s="91" t="s">
        <v>109</v>
      </c>
      <c r="K36" s="128"/>
    </row>
    <row r="37" spans="1:11" x14ac:dyDescent="0.25">
      <c r="A37" s="29" t="s">
        <v>11</v>
      </c>
      <c r="B37" s="30">
        <v>2</v>
      </c>
      <c r="C37" s="32" t="s">
        <v>49</v>
      </c>
      <c r="D37" s="31" t="s">
        <v>50</v>
      </c>
      <c r="E37" s="49">
        <f t="shared" ref="E37:I37" si="0">SUM(H14,H16,H17)</f>
        <v>0</v>
      </c>
      <c r="F37" s="49">
        <f t="shared" si="0"/>
        <v>0</v>
      </c>
      <c r="G37" s="49">
        <f t="shared" si="0"/>
        <v>0</v>
      </c>
      <c r="H37" s="49">
        <f t="shared" si="0"/>
        <v>0</v>
      </c>
      <c r="I37" s="49">
        <f t="shared" si="0"/>
        <v>0</v>
      </c>
      <c r="J37" s="100">
        <v>0</v>
      </c>
      <c r="K37" s="49">
        <f>SUM(N14,N16,N17)</f>
        <v>0</v>
      </c>
    </row>
    <row r="38" spans="1:11" ht="14.25" customHeight="1" x14ac:dyDescent="0.25">
      <c r="A38" s="140" t="s">
        <v>12</v>
      </c>
      <c r="B38" s="32" t="s">
        <v>45</v>
      </c>
      <c r="C38" s="32" t="s">
        <v>46</v>
      </c>
      <c r="D38" s="32" t="s">
        <v>48</v>
      </c>
      <c r="E38" s="49">
        <f t="shared" ref="E38:I38" si="1">SUM(H10,H12,H13)</f>
        <v>3200867</v>
      </c>
      <c r="F38" s="49">
        <f t="shared" si="1"/>
        <v>970368</v>
      </c>
      <c r="G38" s="49">
        <f t="shared" si="1"/>
        <v>545832</v>
      </c>
      <c r="H38" s="49">
        <f t="shared" si="1"/>
        <v>0</v>
      </c>
      <c r="I38" s="49">
        <f t="shared" si="1"/>
        <v>0</v>
      </c>
      <c r="J38" s="49">
        <f>SUM(M10:M13)</f>
        <v>1934667</v>
      </c>
      <c r="K38" s="49">
        <f>SUM(N10,N12,N13)</f>
        <v>0</v>
      </c>
    </row>
    <row r="39" spans="1:11" x14ac:dyDescent="0.25">
      <c r="A39" s="140"/>
      <c r="B39" s="32" t="s">
        <v>45</v>
      </c>
      <c r="C39" s="32" t="s">
        <v>46</v>
      </c>
      <c r="D39" s="32" t="s">
        <v>47</v>
      </c>
      <c r="E39" s="49">
        <f t="shared" ref="E39:I39" si="2">SUM(H9)</f>
        <v>0</v>
      </c>
      <c r="F39" s="49">
        <f t="shared" si="2"/>
        <v>0</v>
      </c>
      <c r="G39" s="49">
        <f t="shared" si="2"/>
        <v>0</v>
      </c>
      <c r="H39" s="49">
        <f t="shared" si="2"/>
        <v>0</v>
      </c>
      <c r="I39" s="49">
        <f t="shared" si="2"/>
        <v>0</v>
      </c>
      <c r="J39" s="100">
        <v>0</v>
      </c>
      <c r="K39" s="49">
        <f>SUM(N9)</f>
        <v>0</v>
      </c>
    </row>
    <row r="40" spans="1:11" x14ac:dyDescent="0.25">
      <c r="A40" s="29" t="s">
        <v>10</v>
      </c>
      <c r="B40" s="33">
        <v>4</v>
      </c>
      <c r="C40" s="33" t="s">
        <v>40</v>
      </c>
      <c r="D40" s="34" t="s">
        <v>41</v>
      </c>
      <c r="E40" s="49">
        <f t="shared" ref="E40:I40" si="3">SUM(H6,H7,H8,H15)</f>
        <v>0</v>
      </c>
      <c r="F40" s="49">
        <f t="shared" si="3"/>
        <v>0</v>
      </c>
      <c r="G40" s="49">
        <f t="shared" si="3"/>
        <v>0</v>
      </c>
      <c r="H40" s="49">
        <f t="shared" si="3"/>
        <v>0</v>
      </c>
      <c r="I40" s="49">
        <f t="shared" si="3"/>
        <v>0</v>
      </c>
      <c r="J40" s="100">
        <v>0</v>
      </c>
      <c r="K40" s="49">
        <f>SUM(N6,N7,N8,N15)</f>
        <v>0</v>
      </c>
    </row>
    <row r="41" spans="1:11" x14ac:dyDescent="0.25">
      <c r="A41" s="35" t="s">
        <v>13</v>
      </c>
      <c r="B41" s="11">
        <v>4</v>
      </c>
      <c r="C41" s="11"/>
      <c r="D41" s="36" t="s">
        <v>54</v>
      </c>
      <c r="E41" s="49">
        <f t="shared" ref="E41:I41" si="4">SUM(H18)</f>
        <v>762350</v>
      </c>
      <c r="F41" s="49">
        <f t="shared" si="4"/>
        <v>648000</v>
      </c>
      <c r="G41" s="49">
        <f t="shared" si="4"/>
        <v>0</v>
      </c>
      <c r="H41" s="49">
        <f t="shared" si="4"/>
        <v>114350</v>
      </c>
      <c r="I41" s="49">
        <f t="shared" si="4"/>
        <v>0</v>
      </c>
      <c r="J41" s="100">
        <v>0</v>
      </c>
      <c r="K41" s="49">
        <f>SUM(N18)</f>
        <v>0</v>
      </c>
    </row>
  </sheetData>
  <mergeCells count="32">
    <mergeCell ref="A38:A39"/>
    <mergeCell ref="A26:A27"/>
    <mergeCell ref="A28:A29"/>
    <mergeCell ref="A32:J32"/>
    <mergeCell ref="A33:A36"/>
    <mergeCell ref="B33:B36"/>
    <mergeCell ref="C33:C36"/>
    <mergeCell ref="D33:D36"/>
    <mergeCell ref="K33:K36"/>
    <mergeCell ref="E34:E36"/>
    <mergeCell ref="F34:G35"/>
    <mergeCell ref="H34:J35"/>
    <mergeCell ref="E33:J33"/>
    <mergeCell ref="A10:A13"/>
    <mergeCell ref="A14:A17"/>
    <mergeCell ref="A19:E19"/>
    <mergeCell ref="A21:E21"/>
    <mergeCell ref="A23:A25"/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 Celkový finanční plán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Vojtěch Surmař</dc:creator>
  <dc:description/>
  <cp:lastModifiedBy>spravce</cp:lastModifiedBy>
  <cp:revision>3</cp:revision>
  <dcterms:created xsi:type="dcterms:W3CDTF">2006-10-17T13:37:20Z</dcterms:created>
  <dcterms:modified xsi:type="dcterms:W3CDTF">2021-10-18T12:12:30Z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