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sVychodniSlovacko\dokumenty\SCLLD\"/>
    </mc:Choice>
  </mc:AlternateContent>
  <xr:revisionPtr revIDLastSave="0" documentId="8_{0A14FD3F-7FDC-4B67-B30C-84B6BB3209CB}" xr6:coauthVersionLast="40" xr6:coauthVersionMax="40" xr10:uidLastSave="{00000000-0000-0000-0000-000000000000}"/>
  <bookViews>
    <workbookView xWindow="1605" yWindow="1605" windowWidth="15345" windowHeight="7875" tabRatio="500" activeTab="1" xr2:uid="{00000000-000D-0000-FFFF-FFFF00000000}"/>
  </bookViews>
  <sheets>
    <sheet name="Celkový finanční plán" sheetId="1" r:id="rId1"/>
    <sheet name=" Celkový finanční plán II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0" i="10" l="1"/>
  <c r="I40" i="10"/>
  <c r="G40" i="10"/>
  <c r="F40" i="10"/>
  <c r="J39" i="10"/>
  <c r="G39" i="10"/>
  <c r="F39" i="10"/>
  <c r="J38" i="10"/>
  <c r="H38" i="10"/>
  <c r="F38" i="10"/>
  <c r="E38" i="10"/>
  <c r="J37" i="10"/>
  <c r="H37" i="10"/>
  <c r="F37" i="10"/>
  <c r="E37" i="10"/>
  <c r="J36" i="10"/>
  <c r="F36" i="10"/>
  <c r="E27" i="10"/>
  <c r="E28" i="10" s="1"/>
  <c r="C27" i="10"/>
  <c r="C28" i="10" s="1"/>
  <c r="C25" i="10"/>
  <c r="C26" i="10" s="1"/>
  <c r="C23" i="10"/>
  <c r="C22" i="10"/>
  <c r="C24" i="10" s="1"/>
  <c r="C29" i="10" s="1"/>
  <c r="H17" i="10"/>
  <c r="E40" i="10" s="1"/>
  <c r="H16" i="10"/>
  <c r="E36" i="10" s="1"/>
  <c r="K15" i="10"/>
  <c r="J15" i="10"/>
  <c r="L14" i="10"/>
  <c r="L13" i="10"/>
  <c r="K13" i="10"/>
  <c r="H36" i="10" s="1"/>
  <c r="J13" i="10"/>
  <c r="G36" i="10" s="1"/>
  <c r="L12" i="10"/>
  <c r="J12" i="10"/>
  <c r="L11" i="10"/>
  <c r="J11" i="10"/>
  <c r="L10" i="10"/>
  <c r="I37" i="10" s="1"/>
  <c r="J10" i="10"/>
  <c r="G37" i="10" s="1"/>
  <c r="L9" i="10"/>
  <c r="I38" i="10" s="1"/>
  <c r="J9" i="10"/>
  <c r="G38" i="10" s="1"/>
  <c r="H8" i="10"/>
  <c r="L8" i="10" s="1"/>
  <c r="I39" i="10" s="1"/>
  <c r="H7" i="10"/>
  <c r="K7" i="10" s="1"/>
  <c r="H6" i="10"/>
  <c r="E39" i="10" s="1"/>
  <c r="J40" i="9"/>
  <c r="I40" i="9"/>
  <c r="H40" i="9"/>
  <c r="G40" i="9"/>
  <c r="F40" i="9"/>
  <c r="J39" i="9"/>
  <c r="G39" i="9"/>
  <c r="J38" i="9"/>
  <c r="H38" i="9"/>
  <c r="E38" i="9"/>
  <c r="J37" i="9"/>
  <c r="H37" i="9"/>
  <c r="E37" i="9"/>
  <c r="J36" i="9"/>
  <c r="H36" i="9"/>
  <c r="G36" i="9"/>
  <c r="F36" i="9"/>
  <c r="E36" i="9"/>
  <c r="D25" i="9"/>
  <c r="D26" i="9" s="1"/>
  <c r="C25" i="9"/>
  <c r="C26" i="9" s="1"/>
  <c r="D23" i="9"/>
  <c r="C23" i="9"/>
  <c r="E23" i="9" s="1"/>
  <c r="E22" i="9"/>
  <c r="H17" i="9"/>
  <c r="E40" i="9" s="1"/>
  <c r="L16" i="9"/>
  <c r="I36" i="9" s="1"/>
  <c r="L14" i="9"/>
  <c r="I14" i="9"/>
  <c r="F39" i="9" s="1"/>
  <c r="L12" i="9"/>
  <c r="J12" i="9"/>
  <c r="I12" i="9"/>
  <c r="L11" i="9"/>
  <c r="J11" i="9"/>
  <c r="I11" i="9"/>
  <c r="L10" i="9"/>
  <c r="I37" i="9" s="1"/>
  <c r="J10" i="9"/>
  <c r="G37" i="9" s="1"/>
  <c r="I10" i="9"/>
  <c r="F37" i="9" s="1"/>
  <c r="L9" i="9"/>
  <c r="I38" i="9" s="1"/>
  <c r="J9" i="9"/>
  <c r="G38" i="9" s="1"/>
  <c r="I9" i="9"/>
  <c r="F38" i="9" s="1"/>
  <c r="H8" i="9"/>
  <c r="L8" i="9" s="1"/>
  <c r="I39" i="9" s="1"/>
  <c r="H7" i="9"/>
  <c r="K7" i="9" s="1"/>
  <c r="H6" i="9"/>
  <c r="E39" i="9" s="1"/>
  <c r="J40" i="8"/>
  <c r="I40" i="8"/>
  <c r="H40" i="8"/>
  <c r="G40" i="8"/>
  <c r="F40" i="8"/>
  <c r="J39" i="8"/>
  <c r="G39" i="8"/>
  <c r="J38" i="8"/>
  <c r="H38" i="8"/>
  <c r="E38" i="8"/>
  <c r="J37" i="8"/>
  <c r="H37" i="8"/>
  <c r="E37" i="8"/>
  <c r="J36" i="8"/>
  <c r="D29" i="8"/>
  <c r="C29" i="8"/>
  <c r="E27" i="8"/>
  <c r="E24" i="8"/>
  <c r="E29" i="8" s="1"/>
  <c r="D23" i="8"/>
  <c r="C23" i="8"/>
  <c r="E23" i="8" s="1"/>
  <c r="E22" i="8"/>
  <c r="H17" i="8"/>
  <c r="E40" i="8" s="1"/>
  <c r="L16" i="8"/>
  <c r="J15" i="8"/>
  <c r="I15" i="8"/>
  <c r="H15" i="8"/>
  <c r="L14" i="8"/>
  <c r="I14" i="8"/>
  <c r="F39" i="8" s="1"/>
  <c r="L13" i="8"/>
  <c r="I36" i="8" s="1"/>
  <c r="K13" i="8"/>
  <c r="H36" i="8" s="1"/>
  <c r="J13" i="8"/>
  <c r="G36" i="8" s="1"/>
  <c r="I13" i="8"/>
  <c r="F36" i="8" s="1"/>
  <c r="H13" i="8"/>
  <c r="E36" i="8" s="1"/>
  <c r="L12" i="8"/>
  <c r="J12" i="8"/>
  <c r="I12" i="8"/>
  <c r="L11" i="8"/>
  <c r="J11" i="8"/>
  <c r="I11" i="8"/>
  <c r="L10" i="8"/>
  <c r="I37" i="8" s="1"/>
  <c r="J10" i="8"/>
  <c r="G37" i="8" s="1"/>
  <c r="I10" i="8"/>
  <c r="F37" i="8" s="1"/>
  <c r="L9" i="8"/>
  <c r="I38" i="8" s="1"/>
  <c r="J9" i="8"/>
  <c r="G38" i="8" s="1"/>
  <c r="I9" i="8"/>
  <c r="F38" i="8" s="1"/>
  <c r="H8" i="8"/>
  <c r="L8" i="8" s="1"/>
  <c r="I39" i="8" s="1"/>
  <c r="H7" i="8"/>
  <c r="K7" i="8" s="1"/>
  <c r="H6" i="8"/>
  <c r="E39" i="8" s="1"/>
  <c r="J40" i="7"/>
  <c r="I40" i="7"/>
  <c r="G40" i="7"/>
  <c r="F40" i="7"/>
  <c r="J39" i="7"/>
  <c r="G39" i="7"/>
  <c r="J38" i="7"/>
  <c r="H38" i="7"/>
  <c r="G38" i="7"/>
  <c r="E38" i="7"/>
  <c r="J37" i="7"/>
  <c r="H37" i="7"/>
  <c r="E37" i="7"/>
  <c r="J36" i="7"/>
  <c r="C29" i="7"/>
  <c r="E26" i="7"/>
  <c r="D24" i="7"/>
  <c r="D29" i="7" s="1"/>
  <c r="C23" i="7"/>
  <c r="E23" i="7" s="1"/>
  <c r="E22" i="7"/>
  <c r="H17" i="7"/>
  <c r="E40" i="7" s="1"/>
  <c r="L16" i="7"/>
  <c r="J15" i="7"/>
  <c r="I15" i="7"/>
  <c r="H15" i="7"/>
  <c r="L14" i="7"/>
  <c r="I39" i="7" s="1"/>
  <c r="I14" i="7"/>
  <c r="F39" i="7" s="1"/>
  <c r="L13" i="7"/>
  <c r="I36" i="7" s="1"/>
  <c r="K13" i="7"/>
  <c r="H36" i="7" s="1"/>
  <c r="J13" i="7"/>
  <c r="G36" i="7" s="1"/>
  <c r="I13" i="7"/>
  <c r="F36" i="7" s="1"/>
  <c r="H13" i="7"/>
  <c r="E36" i="7" s="1"/>
  <c r="L11" i="7"/>
  <c r="J11" i="7"/>
  <c r="I11" i="7"/>
  <c r="L10" i="7"/>
  <c r="I37" i="7" s="1"/>
  <c r="J10" i="7"/>
  <c r="G37" i="7" s="1"/>
  <c r="I10" i="7"/>
  <c r="F37" i="7" s="1"/>
  <c r="L9" i="7"/>
  <c r="I38" i="7" s="1"/>
  <c r="I9" i="7"/>
  <c r="F38" i="7" s="1"/>
  <c r="H7" i="7"/>
  <c r="K7" i="7" s="1"/>
  <c r="H6" i="7"/>
  <c r="E39" i="7" s="1"/>
  <c r="J40" i="6"/>
  <c r="I40" i="6"/>
  <c r="H40" i="6"/>
  <c r="G40" i="6"/>
  <c r="F40" i="6"/>
  <c r="E40" i="6"/>
  <c r="J39" i="6"/>
  <c r="I39" i="6"/>
  <c r="H39" i="6"/>
  <c r="G39" i="6"/>
  <c r="F39" i="6"/>
  <c r="E39" i="6"/>
  <c r="J38" i="6"/>
  <c r="I38" i="6"/>
  <c r="H38" i="6"/>
  <c r="G38" i="6"/>
  <c r="F38" i="6"/>
  <c r="E38" i="6"/>
  <c r="J37" i="6"/>
  <c r="I37" i="6"/>
  <c r="H37" i="6"/>
  <c r="G37" i="6"/>
  <c r="F37" i="6"/>
  <c r="E37" i="6"/>
  <c r="J36" i="6"/>
  <c r="I36" i="6"/>
  <c r="H36" i="6"/>
  <c r="G36" i="6"/>
  <c r="F36" i="6"/>
  <c r="E36" i="6"/>
  <c r="C29" i="6"/>
  <c r="E28" i="6"/>
  <c r="E27" i="6"/>
  <c r="E26" i="6"/>
  <c r="D25" i="6"/>
  <c r="C25" i="6"/>
  <c r="E25" i="6" s="1"/>
  <c r="D24" i="6"/>
  <c r="D29" i="6" s="1"/>
  <c r="C23" i="6"/>
  <c r="E23" i="6" s="1"/>
  <c r="E22" i="6"/>
  <c r="J40" i="5"/>
  <c r="I40" i="5"/>
  <c r="G40" i="5"/>
  <c r="F40" i="5"/>
  <c r="E40" i="5"/>
  <c r="J39" i="5"/>
  <c r="G39" i="5"/>
  <c r="J38" i="5"/>
  <c r="H38" i="5"/>
  <c r="E38" i="5"/>
  <c r="J37" i="5"/>
  <c r="H37" i="5"/>
  <c r="E37" i="5"/>
  <c r="J36" i="5"/>
  <c r="H36" i="5"/>
  <c r="G36" i="5"/>
  <c r="E36" i="5"/>
  <c r="C29" i="5"/>
  <c r="E27" i="5"/>
  <c r="E26" i="5"/>
  <c r="E25" i="5"/>
  <c r="D24" i="5"/>
  <c r="D29" i="5" s="1"/>
  <c r="E23" i="5"/>
  <c r="E22" i="5"/>
  <c r="K17" i="5"/>
  <c r="H40" i="5" s="1"/>
  <c r="L16" i="5"/>
  <c r="I36" i="5" s="1"/>
  <c r="I15" i="5"/>
  <c r="F36" i="5" s="1"/>
  <c r="L14" i="5"/>
  <c r="I14" i="5"/>
  <c r="F39" i="5" s="1"/>
  <c r="L12" i="5"/>
  <c r="J12" i="5"/>
  <c r="I12" i="5"/>
  <c r="L11" i="5"/>
  <c r="J11" i="5"/>
  <c r="I11" i="5"/>
  <c r="L10" i="5"/>
  <c r="I37" i="5" s="1"/>
  <c r="J10" i="5"/>
  <c r="G37" i="5" s="1"/>
  <c r="I10" i="5"/>
  <c r="F37" i="5" s="1"/>
  <c r="L9" i="5"/>
  <c r="I38" i="5" s="1"/>
  <c r="J9" i="5"/>
  <c r="G38" i="5" s="1"/>
  <c r="I9" i="5"/>
  <c r="F38" i="5" s="1"/>
  <c r="H8" i="5"/>
  <c r="L8" i="5" s="1"/>
  <c r="I39" i="5" s="1"/>
  <c r="H7" i="5"/>
  <c r="K7" i="5" s="1"/>
  <c r="H6" i="5"/>
  <c r="E39" i="5" s="1"/>
  <c r="J40" i="4"/>
  <c r="I40" i="4"/>
  <c r="G40" i="4"/>
  <c r="F40" i="4"/>
  <c r="E40" i="4"/>
  <c r="J39" i="4"/>
  <c r="G39" i="4"/>
  <c r="J38" i="4"/>
  <c r="H38" i="4"/>
  <c r="E38" i="4"/>
  <c r="J37" i="4"/>
  <c r="H37" i="4"/>
  <c r="E37" i="4"/>
  <c r="J36" i="4"/>
  <c r="H36" i="4"/>
  <c r="G36" i="4"/>
  <c r="F36" i="4"/>
  <c r="E36" i="4"/>
  <c r="D28" i="4"/>
  <c r="C28" i="4"/>
  <c r="E28" i="4" s="1"/>
  <c r="E27" i="4"/>
  <c r="C25" i="4"/>
  <c r="C26" i="4" s="1"/>
  <c r="D24" i="4"/>
  <c r="E23" i="4"/>
  <c r="E22" i="4"/>
  <c r="K17" i="4"/>
  <c r="H40" i="4" s="1"/>
  <c r="L16" i="4"/>
  <c r="I36" i="4" s="1"/>
  <c r="L14" i="4"/>
  <c r="I14" i="4"/>
  <c r="F39" i="4" s="1"/>
  <c r="L12" i="4"/>
  <c r="J12" i="4"/>
  <c r="I12" i="4"/>
  <c r="L11" i="4"/>
  <c r="J11" i="4"/>
  <c r="I11" i="4"/>
  <c r="L10" i="4"/>
  <c r="I37" i="4" s="1"/>
  <c r="J10" i="4"/>
  <c r="G37" i="4" s="1"/>
  <c r="I10" i="4"/>
  <c r="F37" i="4" s="1"/>
  <c r="L9" i="4"/>
  <c r="I38" i="4" s="1"/>
  <c r="J9" i="4"/>
  <c r="G38" i="4" s="1"/>
  <c r="I9" i="4"/>
  <c r="F38" i="4" s="1"/>
  <c r="H8" i="4"/>
  <c r="L8" i="4" s="1"/>
  <c r="I39" i="4" s="1"/>
  <c r="H7" i="4"/>
  <c r="K7" i="4" s="1"/>
  <c r="H6" i="4"/>
  <c r="E39" i="4" s="1"/>
  <c r="J40" i="3"/>
  <c r="I40" i="3"/>
  <c r="G40" i="3"/>
  <c r="F40" i="3"/>
  <c r="J39" i="3"/>
  <c r="G39" i="3"/>
  <c r="F39" i="3"/>
  <c r="J38" i="3"/>
  <c r="H38" i="3"/>
  <c r="F38" i="3"/>
  <c r="E38" i="3"/>
  <c r="J37" i="3"/>
  <c r="H37" i="3"/>
  <c r="F37" i="3"/>
  <c r="E37" i="3"/>
  <c r="J36" i="3"/>
  <c r="F36" i="3"/>
  <c r="E27" i="3"/>
  <c r="E28" i="3" s="1"/>
  <c r="C27" i="3"/>
  <c r="C28" i="3" s="1"/>
  <c r="C25" i="3"/>
  <c r="C26" i="3" s="1"/>
  <c r="C23" i="3"/>
  <c r="C22" i="3"/>
  <c r="C24" i="3" s="1"/>
  <c r="C29" i="3" s="1"/>
  <c r="H17" i="3"/>
  <c r="E40" i="3" s="1"/>
  <c r="H16" i="3"/>
  <c r="E36" i="3" s="1"/>
  <c r="K15" i="3"/>
  <c r="J15" i="3"/>
  <c r="L14" i="3"/>
  <c r="L13" i="3"/>
  <c r="K13" i="3"/>
  <c r="H36" i="3" s="1"/>
  <c r="J13" i="3"/>
  <c r="G36" i="3" s="1"/>
  <c r="L12" i="3"/>
  <c r="J12" i="3"/>
  <c r="L11" i="3"/>
  <c r="J11" i="3"/>
  <c r="L10" i="3"/>
  <c r="I37" i="3" s="1"/>
  <c r="J10" i="3"/>
  <c r="G37" i="3" s="1"/>
  <c r="L9" i="3"/>
  <c r="I38" i="3" s="1"/>
  <c r="J9" i="3"/>
  <c r="G38" i="3" s="1"/>
  <c r="H8" i="3"/>
  <c r="L8" i="3" s="1"/>
  <c r="I39" i="3" s="1"/>
  <c r="H7" i="3"/>
  <c r="K7" i="3" s="1"/>
  <c r="H6" i="3"/>
  <c r="E39" i="3" s="1"/>
  <c r="J40" i="2"/>
  <c r="I40" i="2"/>
  <c r="H40" i="2"/>
  <c r="G40" i="2"/>
  <c r="F40" i="2"/>
  <c r="E40" i="2"/>
  <c r="J39" i="2"/>
  <c r="I39" i="2"/>
  <c r="H39" i="2"/>
  <c r="G39" i="2"/>
  <c r="F39" i="2"/>
  <c r="E39" i="2"/>
  <c r="J38" i="2"/>
  <c r="I38" i="2"/>
  <c r="H38" i="2"/>
  <c r="G38" i="2"/>
  <c r="F38" i="2"/>
  <c r="E38" i="2"/>
  <c r="J37" i="2"/>
  <c r="I37" i="2"/>
  <c r="H37" i="2"/>
  <c r="G37" i="2"/>
  <c r="F37" i="2"/>
  <c r="E37" i="2"/>
  <c r="J36" i="2"/>
  <c r="I36" i="2"/>
  <c r="H36" i="2"/>
  <c r="G36" i="2"/>
  <c r="F36" i="2"/>
  <c r="E36" i="2"/>
  <c r="G27" i="2"/>
  <c r="G25" i="2"/>
  <c r="D25" i="2"/>
  <c r="D26" i="2" s="1"/>
  <c r="D29" i="2" s="1"/>
  <c r="C25" i="2"/>
  <c r="C26" i="2" s="1"/>
  <c r="C29" i="2" s="1"/>
  <c r="E29" i="2" s="1"/>
  <c r="G23" i="2"/>
  <c r="E23" i="2"/>
  <c r="G22" i="2"/>
  <c r="G29" i="2" s="1"/>
  <c r="E22" i="2"/>
  <c r="P17" i="2"/>
  <c r="P16" i="2"/>
  <c r="P15" i="2"/>
  <c r="P14" i="2"/>
  <c r="P13" i="2"/>
  <c r="P12" i="2"/>
  <c r="P11" i="2"/>
  <c r="P10" i="2"/>
  <c r="P9" i="2"/>
  <c r="P8" i="2"/>
  <c r="P7" i="2"/>
  <c r="P6" i="2"/>
  <c r="D28" i="1"/>
  <c r="D29" i="1" s="1"/>
  <c r="D26" i="1"/>
  <c r="D27" i="1" s="1"/>
  <c r="D23" i="1"/>
  <c r="D25" i="1" s="1"/>
  <c r="D30" i="1" s="1"/>
  <c r="B36" i="1" s="1"/>
  <c r="AB19" i="1"/>
  <c r="R19" i="1"/>
  <c r="Q19" i="1"/>
  <c r="P19" i="1"/>
  <c r="O19" i="1"/>
  <c r="AB18" i="1"/>
  <c r="K18" i="1"/>
  <c r="I18" i="1"/>
  <c r="C28" i="1" s="1"/>
  <c r="C29" i="1" s="1"/>
  <c r="H18" i="1"/>
  <c r="E28" i="1" s="1"/>
  <c r="E29" i="1" s="1"/>
  <c r="AB17" i="1"/>
  <c r="K17" i="1"/>
  <c r="I17" i="1"/>
  <c r="H17" i="1"/>
  <c r="AB16" i="1"/>
  <c r="K16" i="1"/>
  <c r="I16" i="1"/>
  <c r="H16" i="1"/>
  <c r="AB15" i="1"/>
  <c r="K15" i="1"/>
  <c r="I15" i="1"/>
  <c r="H15" i="1"/>
  <c r="AB14" i="1"/>
  <c r="K14" i="1"/>
  <c r="I14" i="1"/>
  <c r="H14" i="1"/>
  <c r="AB13" i="1"/>
  <c r="K13" i="1"/>
  <c r="I13" i="1"/>
  <c r="H13" i="1"/>
  <c r="AB12" i="1"/>
  <c r="K12" i="1"/>
  <c r="I12" i="1"/>
  <c r="H12" i="1"/>
  <c r="AB11" i="1"/>
  <c r="K11" i="1"/>
  <c r="I11" i="1"/>
  <c r="H11" i="1"/>
  <c r="AB10" i="1"/>
  <c r="K10" i="1"/>
  <c r="I10" i="1"/>
  <c r="C26" i="1" s="1"/>
  <c r="C27" i="1" s="1"/>
  <c r="H10" i="1"/>
  <c r="E26" i="1" s="1"/>
  <c r="E27" i="1" s="1"/>
  <c r="AB9" i="1"/>
  <c r="K9" i="1"/>
  <c r="I9" i="1"/>
  <c r="H9" i="1"/>
  <c r="AB8" i="1"/>
  <c r="K8" i="1"/>
  <c r="I8" i="1"/>
  <c r="H8" i="1"/>
  <c r="AB7" i="1"/>
  <c r="K7" i="1"/>
  <c r="I7" i="1"/>
  <c r="H7" i="1"/>
  <c r="AB6" i="1"/>
  <c r="K6" i="1"/>
  <c r="I6" i="1"/>
  <c r="C23" i="1" s="1"/>
  <c r="C25" i="1" s="1"/>
  <c r="C30" i="1" s="1"/>
  <c r="B35" i="1" s="1"/>
  <c r="H6" i="1"/>
  <c r="E23" i="1" s="1"/>
  <c r="E25" i="1" s="1"/>
  <c r="E30" i="1" s="1"/>
  <c r="B34" i="1" s="1"/>
  <c r="C35" i="1" l="1"/>
  <c r="C36" i="1"/>
  <c r="C29" i="4"/>
  <c r="E29" i="5"/>
  <c r="E29" i="6"/>
  <c r="E25" i="2"/>
  <c r="E26" i="2" s="1"/>
  <c r="K6" i="3"/>
  <c r="K8" i="3"/>
  <c r="L16" i="3"/>
  <c r="I36" i="3" s="1"/>
  <c r="K17" i="3"/>
  <c r="E22" i="3"/>
  <c r="E23" i="3"/>
  <c r="D25" i="3"/>
  <c r="D26" i="3" s="1"/>
  <c r="E25" i="3"/>
  <c r="E26" i="3" s="1"/>
  <c r="D27" i="3"/>
  <c r="D28" i="3" s="1"/>
  <c r="K6" i="4"/>
  <c r="K8" i="4"/>
  <c r="E24" i="4"/>
  <c r="D25" i="4"/>
  <c r="D26" i="4" s="1"/>
  <c r="D29" i="4" s="1"/>
  <c r="E25" i="4"/>
  <c r="K6" i="5"/>
  <c r="K8" i="5"/>
  <c r="E24" i="5"/>
  <c r="E24" i="6"/>
  <c r="K6" i="7"/>
  <c r="H39" i="7" s="1"/>
  <c r="K17" i="7"/>
  <c r="H40" i="7" s="1"/>
  <c r="E24" i="7"/>
  <c r="E29" i="7" s="1"/>
  <c r="C25" i="7"/>
  <c r="D25" i="7"/>
  <c r="K6" i="8"/>
  <c r="K8" i="8"/>
  <c r="C25" i="8"/>
  <c r="D25" i="8"/>
  <c r="E26" i="9"/>
  <c r="K6" i="9"/>
  <c r="K8" i="9"/>
  <c r="E25" i="9"/>
  <c r="C27" i="9"/>
  <c r="D27" i="9"/>
  <c r="D28" i="9" s="1"/>
  <c r="D29" i="9" s="1"/>
  <c r="K6" i="10"/>
  <c r="K8" i="10"/>
  <c r="L16" i="10"/>
  <c r="I36" i="10" s="1"/>
  <c r="K17" i="10"/>
  <c r="E22" i="10"/>
  <c r="E23" i="10"/>
  <c r="D25" i="10"/>
  <c r="D26" i="10" s="1"/>
  <c r="E25" i="10"/>
  <c r="E26" i="10" s="1"/>
  <c r="D27" i="10"/>
  <c r="D28" i="10" s="1"/>
  <c r="E24" i="10" l="1"/>
  <c r="E29" i="10" s="1"/>
  <c r="H40" i="10"/>
  <c r="D23" i="10"/>
  <c r="H39" i="10"/>
  <c r="D22" i="10"/>
  <c r="D24" i="10" s="1"/>
  <c r="D29" i="10" s="1"/>
  <c r="C28" i="9"/>
  <c r="E27" i="9"/>
  <c r="H39" i="9"/>
  <c r="E25" i="8"/>
  <c r="H39" i="8"/>
  <c r="E25" i="7"/>
  <c r="H39" i="5"/>
  <c r="H39" i="4"/>
  <c r="E24" i="3"/>
  <c r="E29" i="3" s="1"/>
  <c r="H40" i="3"/>
  <c r="D23" i="3"/>
  <c r="H39" i="3"/>
  <c r="D22" i="3"/>
  <c r="D24" i="3" s="1"/>
  <c r="D29" i="3" s="1"/>
  <c r="E26" i="4"/>
  <c r="E29" i="4"/>
  <c r="E28" i="9" l="1"/>
  <c r="C29" i="9"/>
  <c r="E29" i="9" s="1"/>
</calcChain>
</file>

<file path=xl/sharedStrings.xml><?xml version="1.0" encoding="utf-8"?>
<sst xmlns="http://schemas.openxmlformats.org/spreadsheetml/2006/main" count="1235" uniqueCount="141">
  <si>
    <r>
      <rPr>
        <b/>
        <sz val="10.5"/>
        <color rgb="FF000000"/>
        <rFont val="Calibri"/>
        <family val="2"/>
        <charset val="238"/>
      </rPr>
      <t>CELKEM 20</t>
    </r>
    <r>
      <rPr>
        <b/>
        <sz val="10.5"/>
        <rFont val="Calibri"/>
        <family val="2"/>
        <charset val="238"/>
      </rPr>
      <t>14–2020</t>
    </r>
  </si>
  <si>
    <t>Nastavení finančního plánu</t>
  </si>
  <si>
    <t>Specifický cíl SCLLD</t>
  </si>
  <si>
    <t>Opatření SCLLD</t>
  </si>
  <si>
    <t>Podopatření SCLLD</t>
  </si>
  <si>
    <t>IDENTIFIKACE programu</t>
  </si>
  <si>
    <t>PLÁN FINANCOVÁNÍ (způsobilé výdaje v tis. Kč)</t>
  </si>
  <si>
    <t>Nezpůsobilé výdaje (tis. Kč)</t>
  </si>
  <si>
    <r>
      <rPr>
        <sz val="10.5"/>
        <color rgb="FF000000"/>
        <rFont val="Calibri"/>
        <family val="2"/>
        <charset val="238"/>
      </rPr>
      <t xml:space="preserve">Finanční plán má tři základní vstupy: Celkové částky v jednotlivých operačních programech určené MAS, rozdělení těchto částek do jednotlivých opatření financovaných z daného OP a rozložení částek na opatření v čase. </t>
    </r>
    <r>
      <rPr>
        <b/>
        <sz val="10.5"/>
        <color rgb="FF7030A0"/>
        <rFont val="Calibri"/>
        <family val="2"/>
        <charset val="238"/>
      </rPr>
      <t xml:space="preserve">Stačí měnit fialově zabarvená čísla a tabulky finančního plánu se budou automaticky přepočítávat. </t>
    </r>
    <r>
      <rPr>
        <sz val="10.5"/>
        <color rgb="FF000000"/>
        <rFont val="Calibri"/>
        <family val="2"/>
        <charset val="238"/>
      </rPr>
      <t>Je nutné, aby kontrolní součet podílů činil 1.</t>
    </r>
  </si>
  <si>
    <t>Program</t>
  </si>
  <si>
    <t>Prioritní osa OP/ Priorita Unie</t>
  </si>
  <si>
    <t>Investiční priorita OP/ Prioritní oblast</t>
  </si>
  <si>
    <t>Specifický cíl OP/ Operace PRV</t>
  </si>
  <si>
    <t>Celkové způsobilé výdaje (CZV)</t>
  </si>
  <si>
    <t>z toho  Podpora</t>
  </si>
  <si>
    <t>Z toho Vlastní zdroje příjemce</t>
  </si>
  <si>
    <t>Podíly opatření CLLD v rámci jednotlivých OP</t>
  </si>
  <si>
    <t>Časové rozložení - podíl alokovaných finančních prostředků v jednotlivých letech realizace</t>
  </si>
  <si>
    <t>Příspěvek Unie</t>
  </si>
  <si>
    <t>Národní veřejné zdroje (SR,SF)</t>
  </si>
  <si>
    <t>Národní veřejné zdroje (kraj, obec, jiné)</t>
  </si>
  <si>
    <t>Národní soukromé zdroje)</t>
  </si>
  <si>
    <t>IROP</t>
  </si>
  <si>
    <t>OP Z</t>
  </si>
  <si>
    <t>PRV</t>
  </si>
  <si>
    <t>OP ŽP</t>
  </si>
  <si>
    <t>Celkem</t>
  </si>
  <si>
    <t>SC 1.1</t>
  </si>
  <si>
    <t>O 1.1.1</t>
  </si>
  <si>
    <t>1.2</t>
  </si>
  <si>
    <t>O 1.1.2</t>
  </si>
  <si>
    <t>SC 1.2</t>
  </si>
  <si>
    <t>O 1.2.1</t>
  </si>
  <si>
    <t>2.1</t>
  </si>
  <si>
    <t>O 1.2.2</t>
  </si>
  <si>
    <t>SC 2.1</t>
  </si>
  <si>
    <t>O 2.1.1</t>
  </si>
  <si>
    <t>OPZ</t>
  </si>
  <si>
    <t>2.3 (SC 1)</t>
  </si>
  <si>
    <t>O 2.1.2</t>
  </si>
  <si>
    <t>SC 2.2</t>
  </si>
  <si>
    <t>O 2.2.1</t>
  </si>
  <si>
    <t>O 2.2.2</t>
  </si>
  <si>
    <t>SC 3.1</t>
  </si>
  <si>
    <t>O 3.1.1</t>
  </si>
  <si>
    <t>2.4</t>
  </si>
  <si>
    <t>O 3.1.2</t>
  </si>
  <si>
    <t>O 3.1.3</t>
  </si>
  <si>
    <t>2.2</t>
  </si>
  <si>
    <t>O 3.1.4</t>
  </si>
  <si>
    <t>O 3.1.5</t>
  </si>
  <si>
    <t>19.2</t>
  </si>
  <si>
    <t>Kontrola</t>
  </si>
  <si>
    <t>Zatím rozpočteno do 2020, možné rozpočítat v období 2016-2023</t>
  </si>
  <si>
    <t>Financování podle ESI fondů (způsobilé výdaje v Kč)</t>
  </si>
  <si>
    <t>U opatření z tabulky vlevo je v této tabulce nutné přiřadit příslušný OP.</t>
  </si>
  <si>
    <t>Fond</t>
  </si>
  <si>
    <t xml:space="preserve"> Příspěvek Unie</t>
  </si>
  <si>
    <t xml:space="preserve">Národní spolufinancování </t>
  </si>
  <si>
    <t xml:space="preserve">Celkové způsobilé výdaje </t>
  </si>
  <si>
    <t>Částky určené pro MAS Jižní Haná podle OP (mil. Kč)</t>
  </si>
  <si>
    <t>ERDF</t>
  </si>
  <si>
    <t>Celková částka 
z OP</t>
  </si>
  <si>
    <t>Celkem ERDF</t>
  </si>
  <si>
    <t>Podpora unie</t>
  </si>
  <si>
    <t>ESF</t>
  </si>
  <si>
    <t>Příspěvek SR 
členského státu</t>
  </si>
  <si>
    <t>Celkem ESF</t>
  </si>
  <si>
    <t>EZFRV</t>
  </si>
  <si>
    <t>Celkem EZFRV</t>
  </si>
  <si>
    <t xml:space="preserve"> Celkem</t>
  </si>
  <si>
    <t>Rekapitulace financování (způsobilé výdaje v Kč)</t>
  </si>
  <si>
    <t>Kč</t>
  </si>
  <si>
    <t>%</t>
  </si>
  <si>
    <t>CELKOVÝ ROZPOČET CLLD</t>
  </si>
  <si>
    <t>Národní spolufinancování</t>
  </si>
  <si>
    <t xml:space="preserve">e) Financování podle jednotlivých specifických cílů a opatření (příp. podopatření) SCLLD v letech 2016 - 2023 </t>
  </si>
  <si>
    <t>Příspěvek Unie (a)</t>
  </si>
  <si>
    <t>Národní veřejné zdroje (SR,SF) (b)</t>
  </si>
  <si>
    <t xml:space="preserve">Národní veřejné zdroje (kraj, obec, jiné) (c ) </t>
  </si>
  <si>
    <t>Národní soukromé zdroje (d)</t>
  </si>
  <si>
    <t>Unie + SR, SF</t>
  </si>
  <si>
    <t>9d</t>
  </si>
  <si>
    <t>4.1</t>
  </si>
  <si>
    <t>SC 1.3</t>
  </si>
  <si>
    <t>O 1.3.4</t>
  </si>
  <si>
    <t>SC 1.4</t>
  </si>
  <si>
    <t>O 1.4.1</t>
  </si>
  <si>
    <t>6</t>
  </si>
  <si>
    <t>6b</t>
  </si>
  <si>
    <t>19.3.1</t>
  </si>
  <si>
    <t>19.2.1</t>
  </si>
  <si>
    <t>O 2.1.3</t>
  </si>
  <si>
    <t>2.3</t>
  </si>
  <si>
    <t>2.3.1</t>
  </si>
  <si>
    <t xml:space="preserve"> </t>
  </si>
  <si>
    <t>O 2.2.3</t>
  </si>
  <si>
    <t>O 2.2.5</t>
  </si>
  <si>
    <t>OPŽP</t>
  </si>
  <si>
    <t>4.3</t>
  </si>
  <si>
    <t>h ) Financování podle programů a ESI fondů (Podpora v tisících Kč) v letech 2016 - 2023</t>
  </si>
  <si>
    <t xml:space="preserve"> Příspěvek Unie (tis. Kč)</t>
  </si>
  <si>
    <t>Národní spolufinancování (tis. Kč)</t>
  </si>
  <si>
    <t>Podpora (tis. Kč)</t>
  </si>
  <si>
    <t>f) Financování SCLLD v letech 2016 - 2023 podle specifických cílů operačních programů / opatření EZFRV (PRV)</t>
  </si>
  <si>
    <t>Programový rámec</t>
  </si>
  <si>
    <t>Prioritní osa OP / Priorita Unie</t>
  </si>
  <si>
    <t>Specifický cíl OP/operace PRV</t>
  </si>
  <si>
    <t>PLÁN FINANCOVÁNÍ (způsobilé výdaje v tis. Kč)</t>
  </si>
  <si>
    <t>Z toho Podpora</t>
  </si>
  <si>
    <t>Příspěvek Unie                  (a)</t>
  </si>
  <si>
    <t>Národní veřejné zdroje (SR, SF) (b)</t>
  </si>
  <si>
    <t>Národní veřejné zdroje (kraj, obec, jiné)          (c)</t>
  </si>
  <si>
    <t>e) Financování podle jednotlivých specifických cílů a opatření (příp. podopatření) SCLLD v roku 2016</t>
  </si>
  <si>
    <t>Celkové způsobilé výdaje (CSV)</t>
  </si>
  <si>
    <t>h ) Financování podle programů a ESI fondů (Podpora v tisících Kč) v roku 2016</t>
  </si>
  <si>
    <t>f) Financování SCLLD v roku 2016 p odle specifický ch cílů operačních programů / op atření EZFRV (PRV)</t>
  </si>
  <si>
    <r>
      <rPr>
        <b/>
        <sz val="10"/>
        <color rgb="FFFFFFFF"/>
        <rFont val="Calibri"/>
        <family val="2"/>
        <charset val="238"/>
      </rPr>
      <t xml:space="preserve">PLÁN FINANCOVÁNÍ </t>
    </r>
    <r>
      <rPr>
        <b/>
        <u/>
        <sz val="10"/>
        <color rgb="FFFFFFFF"/>
        <rFont val="Calibri"/>
        <family val="2"/>
        <charset val="238"/>
      </rPr>
      <t xml:space="preserve">(způsobilé </t>
    </r>
    <r>
      <rPr>
        <b/>
        <sz val="10"/>
        <color rgb="FFFFFFFF"/>
        <rFont val="Calibri"/>
        <family val="2"/>
        <charset val="238"/>
      </rPr>
      <t>výdaje v tis. Kč)</t>
    </r>
  </si>
  <si>
    <t>Nezpůsobilé výdaje (v tis. Kč)</t>
  </si>
  <si>
    <t>e) Financování podle jednotlivých specifických cílů a opatření (příp. podopatření) SCLLD v roku 2017</t>
  </si>
  <si>
    <t>h ) Financování podle programů a ESI fondů (Podpora v tisících Kč) v roku 2017</t>
  </si>
  <si>
    <t>f) Financování SCLLD v roku 2017 podle specifický ch cílů operačních programů / opatření EZFRV (PRV)</t>
  </si>
  <si>
    <t>e) Financování podle jednotlivých specifických cílů a opatření (příp. podopatření) SCLLD v roku 2018</t>
  </si>
  <si>
    <t>h ) Financování podle programů a ESI fondů (Podpora v tisících Kč) v roku 2018</t>
  </si>
  <si>
    <t>f) Financování SCLLD v roku 2018 podle specifických cílů operačních programů / opatření EZFRV (PRV)</t>
  </si>
  <si>
    <t>e) Financování podle jednotlivých specifických cílů a opatření (příp. podopatření) SCLLD v roku 2019</t>
  </si>
  <si>
    <t>h ) Financování podle programů a ESI fondů (Podpora v tisících Kč) v roku 2019</t>
  </si>
  <si>
    <t>f) Financování SCLLD v roku 2019 podle specifických cílů operačních programů / opatření EZFRV (PRV)</t>
  </si>
  <si>
    <t>e) Financování podle jednotlivých specifických cílů a opatření (příp. podopatření) SCLLD v roku 2020</t>
  </si>
  <si>
    <t>h ) Financování podle programů a ESI fondů (Podpora v tisících Kč) v roku 2020</t>
  </si>
  <si>
    <t>f) Financování SCLLD v roku 2020 podle specifických cílů operačních programů / opatření EZFRV (PRV)</t>
  </si>
  <si>
    <t>e) Financování podle jednotlivých specifických cílů a opatření (příp. podopatření) SCLLD v roku 2021</t>
  </si>
  <si>
    <t>h ) Financování podle programů a ESI fondů (Podpora v tisících Kč) v roku 2021</t>
  </si>
  <si>
    <t>f) Financování SCLLD v roku 2021 podle specifických cílů operačních programů / opatření EZFRV (PRV)</t>
  </si>
  <si>
    <t>e) Financování podle jednotlivých specifických cílů a opatření (příp. podopatření) SCLLD v roku 2022</t>
  </si>
  <si>
    <t>h ) Financování podle programů a ESI fondů (Podpora v tisících Kč) v roku 2022</t>
  </si>
  <si>
    <t>f) Financování SCLLD v roku 2022 podle specifických cílů operačních programů / opatření EZFRV (PRV)</t>
  </si>
  <si>
    <t>e) Financování podle jednotlivých specifických cílů a opatření (příp. podopatření) SCLLD v roku 2023</t>
  </si>
  <si>
    <t>h ) Financování podle programů a ESI fondů (Podpora v tisících Kč) v roku 2023</t>
  </si>
  <si>
    <t>f) Financování SCLLD v roku 2023 podle specifických cílů operačních programů / opatření EZFRV (PRV)</t>
  </si>
  <si>
    <t>Prioritní osa / Priorita 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</si>
</sst>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\ %"/>
    <numFmt numFmtId="166" formatCode="0.0%"/>
  </numFmts>
  <fonts count="20" x14ac:knownFonts="1">
    <font>
      <sz val="11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color rgb="FF7030A0"/>
      <name val="Calibri"/>
      <family val="2"/>
      <charset val="238"/>
    </font>
    <font>
      <b/>
      <i/>
      <sz val="10.5"/>
      <color rgb="FF000000"/>
      <name val="Calibri"/>
      <family val="2"/>
      <charset val="238"/>
    </font>
    <font>
      <i/>
      <sz val="10.5"/>
      <color rgb="FF000000"/>
      <name val="Calibri"/>
      <family val="2"/>
      <charset val="238"/>
    </font>
    <font>
      <b/>
      <i/>
      <sz val="10.5"/>
      <name val="Calibri"/>
      <family val="2"/>
      <charset val="238"/>
    </font>
    <font>
      <b/>
      <sz val="11"/>
      <color rgb="FF7030A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.5"/>
      <name val="Calibri"/>
      <family val="2"/>
      <charset val="238"/>
    </font>
    <font>
      <sz val="10.5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0"/>
      <color rgb="FFFFFFFF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984806"/>
        <bgColor rgb="FF984807"/>
      </patternFill>
    </fill>
    <fill>
      <patternFill patternType="solid">
        <fgColor rgb="FFFBD4B4"/>
        <bgColor rgb="FFFCD5B5"/>
      </patternFill>
    </fill>
    <fill>
      <patternFill patternType="solid">
        <fgColor rgb="FFE6B9B8"/>
        <bgColor rgb="FFFAC090"/>
      </patternFill>
    </fill>
    <fill>
      <patternFill patternType="solid">
        <fgColor rgb="FFFABF8F"/>
        <bgColor rgb="FFFAC090"/>
      </patternFill>
    </fill>
    <fill>
      <patternFill patternType="solid">
        <fgColor rgb="FFFDE9D9"/>
        <bgColor rgb="FFFDEADA"/>
      </patternFill>
    </fill>
    <fill>
      <patternFill patternType="solid">
        <fgColor rgb="FF00B0F0"/>
        <bgColor rgb="FF33CCCC"/>
      </patternFill>
    </fill>
    <fill>
      <patternFill patternType="solid">
        <fgColor rgb="FFE46C0A"/>
        <bgColor rgb="FFFF9900"/>
      </patternFill>
    </fill>
    <fill>
      <patternFill patternType="solid">
        <fgColor rgb="FFB3A2C7"/>
        <bgColor rgb="FF9999FF"/>
      </patternFill>
    </fill>
    <fill>
      <patternFill patternType="solid">
        <fgColor rgb="FFFCD5B5"/>
        <bgColor rgb="FFFBD4B4"/>
      </patternFill>
    </fill>
    <fill>
      <patternFill patternType="solid">
        <fgColor rgb="FFFAC090"/>
        <bgColor rgb="FFFABF8F"/>
      </patternFill>
    </fill>
    <fill>
      <patternFill patternType="solid">
        <fgColor rgb="FF984807"/>
        <bgColor rgb="FF984806"/>
      </patternFill>
    </fill>
    <fill>
      <patternFill patternType="solid">
        <fgColor rgb="FFFDEADA"/>
        <bgColor rgb="FFFDE9D9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  <fill>
      <patternFill patternType="solid">
        <fgColor rgb="FFFF9900"/>
        <bgColor rgb="FFE46C0A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6" fillId="12" borderId="1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justify" vertical="center" wrapText="1"/>
    </xf>
    <xf numFmtId="0" fontId="1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10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3" fontId="2" fillId="11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" fontId="13" fillId="5" borderId="8" xfId="0" applyNumberFormat="1" applyFont="1" applyFill="1" applyBorder="1" applyAlignment="1">
      <alignment horizontal="center" vertical="center" wrapText="1"/>
    </xf>
    <xf numFmtId="165" fontId="13" fillId="5" borderId="9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166" fontId="13" fillId="3" borderId="1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/>
    </xf>
    <xf numFmtId="0" fontId="2" fillId="12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vertical="center"/>
    </xf>
    <xf numFmtId="4" fontId="14" fillId="13" borderId="1" xfId="0" applyNumberFormat="1" applyFont="1" applyFill="1" applyBorder="1" applyAlignment="1">
      <alignment horizontal="center" vertical="center"/>
    </xf>
    <xf numFmtId="4" fontId="14" fillId="13" borderId="1" xfId="0" applyNumberFormat="1" applyFont="1" applyFill="1" applyBorder="1" applyAlignment="1">
      <alignment horizontal="right" vertical="center"/>
    </xf>
    <xf numFmtId="4" fontId="14" fillId="6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4" fillId="6" borderId="1" xfId="0" applyNumberFormat="1" applyFont="1" applyFill="1" applyBorder="1" applyAlignment="1">
      <alignment horizontal="center" vertical="center" wrapText="1"/>
    </xf>
    <xf numFmtId="4" fontId="14" fillId="13" borderId="1" xfId="0" applyNumberFormat="1" applyFont="1" applyFill="1" applyBorder="1" applyAlignment="1">
      <alignment horizontal="center" vertical="center" wrapText="1"/>
    </xf>
    <xf numFmtId="4" fontId="14" fillId="13" borderId="1" xfId="0" applyNumberFormat="1" applyFont="1" applyFill="1" applyBorder="1" applyAlignment="1">
      <alignment horizontal="right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9" fontId="1" fillId="13" borderId="1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4" fontId="14" fillId="14" borderId="1" xfId="0" applyNumberFormat="1" applyFont="1" applyFill="1" applyBorder="1" applyAlignment="1">
      <alignment horizontal="center" vertical="center" wrapText="1"/>
    </xf>
    <xf numFmtId="4" fontId="14" fillId="14" borderId="1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16" fontId="1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4" fontId="1" fillId="11" borderId="1" xfId="0" applyNumberFormat="1" applyFont="1" applyFill="1" applyBorder="1" applyAlignment="1">
      <alignment horizontal="center" vertical="center" wrapText="1"/>
    </xf>
    <xf numFmtId="4" fontId="1" fillId="14" borderId="1" xfId="0" applyNumberFormat="1" applyFont="1" applyFill="1" applyBorder="1" applyAlignment="1">
      <alignment horizontal="center" vertical="center" wrapText="1"/>
    </xf>
    <xf numFmtId="4" fontId="2" fillId="14" borderId="1" xfId="0" applyNumberFormat="1" applyFont="1" applyFill="1" applyBorder="1" applyAlignment="1">
      <alignment horizontal="center" vertical="center" wrapText="1"/>
    </xf>
    <xf numFmtId="4" fontId="17" fillId="11" borderId="1" xfId="0" applyNumberFormat="1" applyFont="1" applyFill="1" applyBorder="1" applyAlignment="1">
      <alignment horizontal="center" vertical="center" wrapText="1"/>
    </xf>
    <xf numFmtId="4" fontId="17" fillId="11" borderId="1" xfId="0" applyNumberFormat="1" applyFont="1" applyFill="1" applyBorder="1" applyAlignment="1">
      <alignment horizontal="center" vertical="top" wrapText="1"/>
    </xf>
    <xf numFmtId="0" fontId="17" fillId="11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49" fontId="14" fillId="10" borderId="1" xfId="0" applyNumberFormat="1" applyFont="1" applyFill="1" applyBorder="1" applyAlignment="1">
      <alignment horizontal="center" vertical="center" wrapText="1"/>
    </xf>
    <xf numFmtId="4" fontId="18" fillId="14" borderId="1" xfId="0" applyNumberFormat="1" applyFont="1" applyFill="1" applyBorder="1" applyAlignment="1">
      <alignment horizontal="center" vertical="center" wrapText="1"/>
    </xf>
    <xf numFmtId="4" fontId="18" fillId="13" borderId="1" xfId="0" applyNumberFormat="1" applyFont="1" applyFill="1" applyBorder="1" applyAlignment="1">
      <alignment horizontal="center" vertical="center" wrapText="1"/>
    </xf>
    <xf numFmtId="49" fontId="18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49" fontId="14" fillId="10" borderId="1" xfId="0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4" fontId="1" fillId="13" borderId="1" xfId="0" applyNumberFormat="1" applyFont="1" applyFill="1" applyBorder="1" applyAlignment="1">
      <alignment horizontal="center" vertical="center" wrapText="1"/>
    </xf>
    <xf numFmtId="4" fontId="2" fillId="11" borderId="1" xfId="0" applyNumberFormat="1" applyFont="1" applyFill="1" applyBorder="1" applyAlignment="1">
      <alignment horizontal="center" vertical="center" wrapText="1"/>
    </xf>
    <xf numFmtId="4" fontId="1" fillId="13" borderId="1" xfId="0" applyNumberFormat="1" applyFont="1" applyFill="1" applyBorder="1" applyAlignment="1">
      <alignment horizontal="right" vertical="center" wrapText="1"/>
    </xf>
    <xf numFmtId="0" fontId="14" fillId="13" borderId="1" xfId="0" applyFont="1" applyFill="1" applyBorder="1" applyAlignment="1">
      <alignment horizontal="center" vertical="center"/>
    </xf>
    <xf numFmtId="49" fontId="14" fillId="13" borderId="1" xfId="0" applyNumberFormat="1" applyFont="1" applyFill="1" applyBorder="1" applyAlignment="1">
      <alignment horizontal="center" vertical="center"/>
    </xf>
    <xf numFmtId="4" fontId="1" fillId="15" borderId="1" xfId="0" applyNumberFormat="1" applyFont="1" applyFill="1" applyBorder="1" applyAlignment="1">
      <alignment horizontal="center" vertical="center" wrapText="1"/>
    </xf>
    <xf numFmtId="4" fontId="1" fillId="15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1" fillId="14" borderId="1" xfId="0" applyNumberFormat="1" applyFont="1" applyFill="1" applyBorder="1" applyAlignment="1">
      <alignment horizontal="right" vertical="center" wrapText="1"/>
    </xf>
    <xf numFmtId="4" fontId="1" fillId="16" borderId="1" xfId="0" applyNumberFormat="1" applyFont="1" applyFill="1" applyBorder="1" applyAlignment="1">
      <alignment horizontal="center" vertical="center" wrapText="1"/>
    </xf>
    <xf numFmtId="4" fontId="1" fillId="16" borderId="1" xfId="0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2" fontId="1" fillId="14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7" fillId="11" borderId="1" xfId="0" applyNumberFormat="1" applyFont="1" applyFill="1" applyBorder="1" applyAlignment="1">
      <alignment vertical="center" wrapText="1"/>
    </xf>
    <xf numFmtId="4" fontId="17" fillId="11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7030A0"/>
      <rgbColor rgb="FFFDEADA"/>
      <rgbColor rgb="FFCCFFFF"/>
      <rgbColor rgb="FF660066"/>
      <rgbColor rgb="FFFF8080"/>
      <rgbColor rgb="FF0066CC"/>
      <rgbColor rgb="FFFBD4B4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B0F0"/>
      <rgbColor rgb="FFCCFFFF"/>
      <rgbColor rgb="FFFCD5B5"/>
      <rgbColor rgb="FFFDE9D9"/>
      <rgbColor rgb="FF99CCFF"/>
      <rgbColor rgb="FFFABF8F"/>
      <rgbColor rgb="FFB3A2C7"/>
      <rgbColor rgb="FFFAC090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6"/>
      <rgbColor rgb="FF984807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54"/>
  <sheetViews>
    <sheetView zoomScaleNormal="100" workbookViewId="0">
      <selection activeCell="J24" sqref="J24"/>
    </sheetView>
  </sheetViews>
  <sheetFormatPr defaultRowHeight="15" x14ac:dyDescent="0.25"/>
  <cols>
    <col min="1" max="1" width="20.140625" style="15" customWidth="1"/>
    <col min="2" max="2" width="12.7109375" style="15" customWidth="1"/>
    <col min="3" max="6" width="12.140625" style="15" customWidth="1"/>
    <col min="7" max="8" width="10.7109375" style="15" customWidth="1"/>
    <col min="9" max="11" width="11.42578125" style="15"/>
    <col min="12" max="12" width="10.7109375" style="15" customWidth="1"/>
    <col min="13" max="13" width="11.28515625" style="15" customWidth="1"/>
    <col min="14" max="14" width="13" style="15" customWidth="1"/>
    <col min="15" max="15" width="11.42578125" style="15"/>
    <col min="16" max="16" width="10.140625" style="15" customWidth="1"/>
    <col min="17" max="17" width="10.28515625" style="15" customWidth="1"/>
    <col min="18" max="1025" width="9.140625" style="15" customWidth="1"/>
  </cols>
  <sheetData>
    <row r="1" spans="1:28" x14ac:dyDescent="0.25">
      <c r="A1" s="16" t="s">
        <v>0</v>
      </c>
      <c r="O1" s="16" t="s">
        <v>1</v>
      </c>
    </row>
    <row r="2" spans="1:28" ht="21.7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14" t="s">
        <v>6</v>
      </c>
      <c r="I2" s="14"/>
      <c r="J2" s="14"/>
      <c r="K2" s="14"/>
      <c r="L2" s="14"/>
      <c r="M2" s="14" t="s">
        <v>7</v>
      </c>
      <c r="O2" s="13" t="s">
        <v>8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21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28.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2"/>
      <c r="K4" s="12" t="s">
        <v>15</v>
      </c>
      <c r="L4" s="12"/>
      <c r="M4" s="14"/>
      <c r="O4" s="20" t="s">
        <v>16</v>
      </c>
      <c r="T4" s="20" t="s">
        <v>17</v>
      </c>
    </row>
    <row r="5" spans="1:28" ht="59.25" customHeight="1" x14ac:dyDescent="0.25">
      <c r="A5" s="14"/>
      <c r="B5" s="14"/>
      <c r="C5" s="14"/>
      <c r="D5" s="12"/>
      <c r="E5" s="12"/>
      <c r="F5" s="12"/>
      <c r="G5" s="12"/>
      <c r="H5" s="12"/>
      <c r="I5" s="19" t="s">
        <v>18</v>
      </c>
      <c r="J5" s="19" t="s">
        <v>19</v>
      </c>
      <c r="K5" s="19" t="s">
        <v>20</v>
      </c>
      <c r="L5" s="19" t="s">
        <v>21</v>
      </c>
      <c r="M5" s="14"/>
      <c r="O5" s="21" t="s">
        <v>22</v>
      </c>
      <c r="P5" s="21" t="s">
        <v>23</v>
      </c>
      <c r="Q5" s="21" t="s">
        <v>24</v>
      </c>
      <c r="R5" s="21" t="s">
        <v>25</v>
      </c>
      <c r="T5" s="21">
        <v>2016</v>
      </c>
      <c r="U5" s="21">
        <v>2017</v>
      </c>
      <c r="V5" s="21">
        <v>2018</v>
      </c>
      <c r="W5" s="21">
        <v>2019</v>
      </c>
      <c r="X5" s="21">
        <v>2020</v>
      </c>
      <c r="Y5" s="21">
        <v>2021</v>
      </c>
      <c r="Z5" s="21">
        <v>2022</v>
      </c>
      <c r="AA5" s="21">
        <v>2023</v>
      </c>
      <c r="AB5" s="22" t="s">
        <v>26</v>
      </c>
    </row>
    <row r="6" spans="1:28" ht="14.25" customHeight="1" x14ac:dyDescent="0.25">
      <c r="A6" s="11" t="s">
        <v>27</v>
      </c>
      <c r="B6" s="24" t="s">
        <v>28</v>
      </c>
      <c r="C6" s="24"/>
      <c r="D6" s="25" t="s">
        <v>22</v>
      </c>
      <c r="E6" s="25">
        <v>1</v>
      </c>
      <c r="F6" s="25"/>
      <c r="G6" s="26" t="s">
        <v>29</v>
      </c>
      <c r="H6" s="27">
        <f t="shared" ref="H6:H18" si="0">(O6*$O$24)+(P6*$P$24)+(Q6*$Q$24)</f>
        <v>2523000</v>
      </c>
      <c r="I6" s="27">
        <f t="shared" ref="I6:I18" si="1">(O6*$O$25)+(P6*$P$25)+(Q6*$Q$25)</f>
        <v>0</v>
      </c>
      <c r="J6" s="27"/>
      <c r="K6" s="27">
        <f t="shared" ref="K6:K18" si="2">(O6*$O$26)+(P6*$P$26)+(Q6*$Q$26)</f>
        <v>0</v>
      </c>
      <c r="L6" s="27"/>
      <c r="M6" s="25"/>
      <c r="O6" s="28">
        <v>0.1</v>
      </c>
      <c r="P6" s="29"/>
      <c r="Q6" s="29"/>
      <c r="R6" s="29"/>
      <c r="T6" s="29">
        <v>0.1</v>
      </c>
      <c r="U6" s="29">
        <v>0.3</v>
      </c>
      <c r="V6" s="29">
        <v>0.25</v>
      </c>
      <c r="W6" s="29">
        <v>0.2</v>
      </c>
      <c r="X6" s="29">
        <v>0.15</v>
      </c>
      <c r="Y6" s="29"/>
      <c r="Z6" s="29"/>
      <c r="AA6" s="29"/>
      <c r="AB6" s="22">
        <f t="shared" ref="AB6:AB19" si="3">SUM(T6:AA6)</f>
        <v>1</v>
      </c>
    </row>
    <row r="7" spans="1:28" x14ac:dyDescent="0.25">
      <c r="A7" s="11"/>
      <c r="B7" s="24" t="s">
        <v>30</v>
      </c>
      <c r="C7" s="24"/>
      <c r="D7" s="25" t="s">
        <v>22</v>
      </c>
      <c r="E7" s="25">
        <v>1</v>
      </c>
      <c r="F7" s="25"/>
      <c r="G7" s="26" t="s">
        <v>29</v>
      </c>
      <c r="H7" s="27">
        <f t="shared" si="0"/>
        <v>7569000</v>
      </c>
      <c r="I7" s="27">
        <f t="shared" si="1"/>
        <v>0</v>
      </c>
      <c r="J7" s="27"/>
      <c r="K7" s="27">
        <f t="shared" si="2"/>
        <v>0</v>
      </c>
      <c r="L7" s="27"/>
      <c r="M7" s="25"/>
      <c r="O7" s="28">
        <v>0.3</v>
      </c>
      <c r="P7" s="29"/>
      <c r="Q7" s="29"/>
      <c r="R7" s="29"/>
      <c r="T7" s="29">
        <v>0.1</v>
      </c>
      <c r="U7" s="29">
        <v>0.3</v>
      </c>
      <c r="V7" s="29">
        <v>0.25</v>
      </c>
      <c r="W7" s="29">
        <v>0.2</v>
      </c>
      <c r="X7" s="29">
        <v>0.15</v>
      </c>
      <c r="Y7" s="29"/>
      <c r="Z7" s="29"/>
      <c r="AA7" s="29"/>
      <c r="AB7" s="22">
        <f t="shared" si="3"/>
        <v>1</v>
      </c>
    </row>
    <row r="8" spans="1:28" ht="14.25" customHeight="1" x14ac:dyDescent="0.25">
      <c r="A8" s="11" t="s">
        <v>31</v>
      </c>
      <c r="B8" s="24" t="s">
        <v>32</v>
      </c>
      <c r="C8" s="24"/>
      <c r="D8" s="25" t="s">
        <v>22</v>
      </c>
      <c r="E8" s="25">
        <v>2</v>
      </c>
      <c r="F8" s="25"/>
      <c r="G8" s="26" t="s">
        <v>33</v>
      </c>
      <c r="H8" s="27">
        <f t="shared" si="0"/>
        <v>2523000</v>
      </c>
      <c r="I8" s="27">
        <f t="shared" si="1"/>
        <v>0</v>
      </c>
      <c r="J8" s="27"/>
      <c r="K8" s="27">
        <f t="shared" si="2"/>
        <v>0</v>
      </c>
      <c r="L8" s="27"/>
      <c r="M8" s="25"/>
      <c r="O8" s="28">
        <v>0.1</v>
      </c>
      <c r="P8" s="29"/>
      <c r="Q8" s="29"/>
      <c r="R8" s="29"/>
      <c r="T8" s="29">
        <v>0.1</v>
      </c>
      <c r="U8" s="29">
        <v>0.3</v>
      </c>
      <c r="V8" s="29">
        <v>0.25</v>
      </c>
      <c r="W8" s="29">
        <v>0.2</v>
      </c>
      <c r="X8" s="29">
        <v>0.15</v>
      </c>
      <c r="Y8" s="29"/>
      <c r="Z8" s="29"/>
      <c r="AA8" s="29"/>
      <c r="AB8" s="22">
        <f t="shared" si="3"/>
        <v>1</v>
      </c>
    </row>
    <row r="9" spans="1:28" x14ac:dyDescent="0.25">
      <c r="A9" s="11"/>
      <c r="B9" s="24" t="s">
        <v>34</v>
      </c>
      <c r="C9" s="24"/>
      <c r="D9" s="25" t="s">
        <v>22</v>
      </c>
      <c r="E9" s="25">
        <v>2</v>
      </c>
      <c r="F9" s="25"/>
      <c r="G9" s="26" t="s">
        <v>33</v>
      </c>
      <c r="H9" s="27">
        <f t="shared" si="0"/>
        <v>2523000</v>
      </c>
      <c r="I9" s="27">
        <f t="shared" si="1"/>
        <v>0</v>
      </c>
      <c r="J9" s="27"/>
      <c r="K9" s="27">
        <f t="shared" si="2"/>
        <v>0</v>
      </c>
      <c r="L9" s="27"/>
      <c r="M9" s="25"/>
      <c r="O9" s="28">
        <v>0.1</v>
      </c>
      <c r="P9" s="29"/>
      <c r="Q9" s="29"/>
      <c r="R9" s="29"/>
      <c r="T9" s="29">
        <v>0.1</v>
      </c>
      <c r="U9" s="29">
        <v>0.3</v>
      </c>
      <c r="V9" s="29">
        <v>0.25</v>
      </c>
      <c r="W9" s="29">
        <v>0.2</v>
      </c>
      <c r="X9" s="29">
        <v>0.15</v>
      </c>
      <c r="Y9" s="29"/>
      <c r="Z9" s="29"/>
      <c r="AA9" s="29"/>
      <c r="AB9" s="22">
        <f t="shared" si="3"/>
        <v>1</v>
      </c>
    </row>
    <row r="10" spans="1:28" ht="14.25" customHeight="1" x14ac:dyDescent="0.25">
      <c r="A10" s="10" t="s">
        <v>35</v>
      </c>
      <c r="B10" s="24" t="s">
        <v>36</v>
      </c>
      <c r="C10" s="24"/>
      <c r="D10" s="25" t="s">
        <v>37</v>
      </c>
      <c r="E10" s="25">
        <v>2</v>
      </c>
      <c r="F10" s="25"/>
      <c r="G10" s="26" t="s">
        <v>38</v>
      </c>
      <c r="H10" s="27">
        <f t="shared" si="0"/>
        <v>2152800</v>
      </c>
      <c r="I10" s="27">
        <f t="shared" si="1"/>
        <v>0</v>
      </c>
      <c r="J10" s="27"/>
      <c r="K10" s="27">
        <f t="shared" si="2"/>
        <v>0</v>
      </c>
      <c r="L10" s="27"/>
      <c r="M10" s="25"/>
      <c r="O10" s="29"/>
      <c r="P10" s="31">
        <v>0.2</v>
      </c>
      <c r="Q10" s="29"/>
      <c r="R10" s="29"/>
      <c r="T10" s="29">
        <v>0.1</v>
      </c>
      <c r="U10" s="29">
        <v>0.3</v>
      </c>
      <c r="V10" s="29">
        <v>0.25</v>
      </c>
      <c r="W10" s="29">
        <v>0.2</v>
      </c>
      <c r="X10" s="29">
        <v>0.15</v>
      </c>
      <c r="Y10" s="29"/>
      <c r="Z10" s="29"/>
      <c r="AA10" s="29"/>
      <c r="AB10" s="22">
        <f t="shared" si="3"/>
        <v>1</v>
      </c>
    </row>
    <row r="11" spans="1:28" x14ac:dyDescent="0.25">
      <c r="A11" s="10"/>
      <c r="B11" s="24" t="s">
        <v>39</v>
      </c>
      <c r="C11" s="24"/>
      <c r="D11" s="25" t="s">
        <v>37</v>
      </c>
      <c r="E11" s="25">
        <v>2</v>
      </c>
      <c r="F11" s="25"/>
      <c r="G11" s="26" t="s">
        <v>38</v>
      </c>
      <c r="H11" s="27">
        <f t="shared" si="0"/>
        <v>2152800</v>
      </c>
      <c r="I11" s="27">
        <f t="shared" si="1"/>
        <v>0</v>
      </c>
      <c r="J11" s="27"/>
      <c r="K11" s="27">
        <f t="shared" si="2"/>
        <v>0</v>
      </c>
      <c r="L11" s="27"/>
      <c r="M11" s="25"/>
      <c r="O11" s="29"/>
      <c r="P11" s="31">
        <v>0.2</v>
      </c>
      <c r="Q11" s="29"/>
      <c r="R11" s="29"/>
      <c r="T11" s="29">
        <v>0.1</v>
      </c>
      <c r="U11" s="29">
        <v>0.3</v>
      </c>
      <c r="V11" s="29">
        <v>0.25</v>
      </c>
      <c r="W11" s="29">
        <v>0.2</v>
      </c>
      <c r="X11" s="29">
        <v>0.15</v>
      </c>
      <c r="Y11" s="29"/>
      <c r="Z11" s="29"/>
      <c r="AA11" s="29"/>
      <c r="AB11" s="22">
        <f t="shared" si="3"/>
        <v>1</v>
      </c>
    </row>
    <row r="12" spans="1:28" ht="14.25" customHeight="1" x14ac:dyDescent="0.25">
      <c r="A12" s="11" t="s">
        <v>40</v>
      </c>
      <c r="B12" s="24" t="s">
        <v>41</v>
      </c>
      <c r="C12" s="24"/>
      <c r="D12" s="25" t="s">
        <v>37</v>
      </c>
      <c r="E12" s="25">
        <v>2</v>
      </c>
      <c r="F12" s="25"/>
      <c r="G12" s="26" t="s">
        <v>38</v>
      </c>
      <c r="H12" s="27">
        <f t="shared" si="0"/>
        <v>2152800</v>
      </c>
      <c r="I12" s="27">
        <f t="shared" si="1"/>
        <v>0</v>
      </c>
      <c r="J12" s="27"/>
      <c r="K12" s="27">
        <f t="shared" si="2"/>
        <v>0</v>
      </c>
      <c r="L12" s="27"/>
      <c r="M12" s="25"/>
      <c r="O12" s="29"/>
      <c r="P12" s="31">
        <v>0.2</v>
      </c>
      <c r="Q12" s="29"/>
      <c r="R12" s="29"/>
      <c r="T12" s="29">
        <v>0.1</v>
      </c>
      <c r="U12" s="29">
        <v>0.3</v>
      </c>
      <c r="V12" s="29">
        <v>0.25</v>
      </c>
      <c r="W12" s="29">
        <v>0.2</v>
      </c>
      <c r="X12" s="29">
        <v>0.15</v>
      </c>
      <c r="Y12" s="29"/>
      <c r="Z12" s="29"/>
      <c r="AA12" s="29"/>
      <c r="AB12" s="22">
        <f t="shared" si="3"/>
        <v>1</v>
      </c>
    </row>
    <row r="13" spans="1:28" x14ac:dyDescent="0.25">
      <c r="A13" s="11"/>
      <c r="B13" s="32" t="s">
        <v>42</v>
      </c>
      <c r="C13" s="32"/>
      <c r="D13" s="25" t="s">
        <v>37</v>
      </c>
      <c r="E13" s="25">
        <v>2</v>
      </c>
      <c r="F13" s="25"/>
      <c r="G13" s="26" t="s">
        <v>38</v>
      </c>
      <c r="H13" s="27">
        <f t="shared" si="0"/>
        <v>2152800</v>
      </c>
      <c r="I13" s="27">
        <f t="shared" si="1"/>
        <v>0</v>
      </c>
      <c r="J13" s="27"/>
      <c r="K13" s="27">
        <f t="shared" si="2"/>
        <v>0</v>
      </c>
      <c r="L13" s="27"/>
      <c r="M13" s="25"/>
      <c r="O13" s="29"/>
      <c r="P13" s="31">
        <v>0.2</v>
      </c>
      <c r="Q13" s="29"/>
      <c r="R13" s="29"/>
      <c r="T13" s="29">
        <v>0.2</v>
      </c>
      <c r="U13" s="29">
        <v>0.3</v>
      </c>
      <c r="V13" s="29">
        <v>0.2</v>
      </c>
      <c r="W13" s="29">
        <v>0.2</v>
      </c>
      <c r="X13" s="29">
        <v>0.1</v>
      </c>
      <c r="Y13" s="29"/>
      <c r="Z13" s="29"/>
      <c r="AA13" s="29"/>
      <c r="AB13" s="22">
        <f t="shared" si="3"/>
        <v>0.99999999999999989</v>
      </c>
    </row>
    <row r="14" spans="1:28" ht="14.25" customHeight="1" x14ac:dyDescent="0.25">
      <c r="A14" s="10" t="s">
        <v>43</v>
      </c>
      <c r="B14" s="24" t="s">
        <v>44</v>
      </c>
      <c r="C14" s="24"/>
      <c r="D14" s="25" t="s">
        <v>22</v>
      </c>
      <c r="E14" s="25">
        <v>2</v>
      </c>
      <c r="F14" s="25"/>
      <c r="G14" s="26" t="s">
        <v>45</v>
      </c>
      <c r="H14" s="27">
        <f t="shared" si="0"/>
        <v>2523000</v>
      </c>
      <c r="I14" s="27">
        <f t="shared" si="1"/>
        <v>0</v>
      </c>
      <c r="J14" s="27"/>
      <c r="K14" s="27">
        <f t="shared" si="2"/>
        <v>0</v>
      </c>
      <c r="L14" s="27"/>
      <c r="M14" s="25"/>
      <c r="O14" s="28">
        <v>0.1</v>
      </c>
      <c r="P14" s="29"/>
      <c r="Q14" s="29"/>
      <c r="R14" s="29"/>
      <c r="T14" s="29">
        <v>0.1</v>
      </c>
      <c r="U14" s="29">
        <v>0.3</v>
      </c>
      <c r="V14" s="29">
        <v>0.25</v>
      </c>
      <c r="W14" s="29">
        <v>0.2</v>
      </c>
      <c r="X14" s="29">
        <v>0.15</v>
      </c>
      <c r="Y14" s="29"/>
      <c r="Z14" s="29"/>
      <c r="AA14" s="29"/>
      <c r="AB14" s="22">
        <f t="shared" si="3"/>
        <v>1</v>
      </c>
    </row>
    <row r="15" spans="1:28" x14ac:dyDescent="0.25">
      <c r="A15" s="10"/>
      <c r="B15" s="33" t="s">
        <v>46</v>
      </c>
      <c r="C15" s="33"/>
      <c r="D15" s="25" t="s">
        <v>22</v>
      </c>
      <c r="E15" s="25">
        <v>2</v>
      </c>
      <c r="F15" s="25"/>
      <c r="G15" s="26" t="s">
        <v>45</v>
      </c>
      <c r="H15" s="27">
        <f t="shared" si="0"/>
        <v>2523000</v>
      </c>
      <c r="I15" s="27">
        <f t="shared" si="1"/>
        <v>0</v>
      </c>
      <c r="J15" s="27"/>
      <c r="K15" s="27">
        <f t="shared" si="2"/>
        <v>0</v>
      </c>
      <c r="L15" s="27"/>
      <c r="M15" s="25"/>
      <c r="O15" s="28">
        <v>0.1</v>
      </c>
      <c r="P15" s="29"/>
      <c r="Q15" s="29"/>
      <c r="R15" s="29"/>
      <c r="T15" s="29">
        <v>0.1</v>
      </c>
      <c r="U15" s="29">
        <v>0.3</v>
      </c>
      <c r="V15" s="29">
        <v>0.25</v>
      </c>
      <c r="W15" s="29">
        <v>0.2</v>
      </c>
      <c r="X15" s="29">
        <v>0.15</v>
      </c>
      <c r="Y15" s="29"/>
      <c r="Z15" s="29"/>
      <c r="AA15" s="29"/>
      <c r="AB15" s="22">
        <f t="shared" si="3"/>
        <v>1</v>
      </c>
    </row>
    <row r="16" spans="1:28" x14ac:dyDescent="0.25">
      <c r="A16" s="10"/>
      <c r="B16" s="33" t="s">
        <v>47</v>
      </c>
      <c r="C16" s="33"/>
      <c r="D16" s="25" t="s">
        <v>22</v>
      </c>
      <c r="E16" s="25">
        <v>2</v>
      </c>
      <c r="F16" s="25"/>
      <c r="G16" s="26" t="s">
        <v>48</v>
      </c>
      <c r="H16" s="27">
        <f t="shared" si="0"/>
        <v>5046000</v>
      </c>
      <c r="I16" s="27">
        <f t="shared" si="1"/>
        <v>0</v>
      </c>
      <c r="J16" s="27"/>
      <c r="K16" s="27">
        <f t="shared" si="2"/>
        <v>0</v>
      </c>
      <c r="L16" s="27"/>
      <c r="M16" s="25"/>
      <c r="O16" s="28">
        <v>0.2</v>
      </c>
      <c r="P16" s="29"/>
      <c r="Q16" s="29"/>
      <c r="R16" s="29"/>
      <c r="T16" s="29">
        <v>0.1</v>
      </c>
      <c r="U16" s="29">
        <v>0.3</v>
      </c>
      <c r="V16" s="29">
        <v>0.25</v>
      </c>
      <c r="W16" s="29">
        <v>0.2</v>
      </c>
      <c r="X16" s="29">
        <v>0.15</v>
      </c>
      <c r="Y16" s="29"/>
      <c r="Z16" s="29"/>
      <c r="AA16" s="29"/>
      <c r="AB16" s="22">
        <f t="shared" si="3"/>
        <v>1</v>
      </c>
    </row>
    <row r="17" spans="1:28" x14ac:dyDescent="0.25">
      <c r="A17" s="10"/>
      <c r="B17" s="33" t="s">
        <v>49</v>
      </c>
      <c r="C17" s="33"/>
      <c r="D17" s="25" t="s">
        <v>23</v>
      </c>
      <c r="E17" s="25">
        <v>2</v>
      </c>
      <c r="F17" s="25"/>
      <c r="G17" s="26" t="s">
        <v>38</v>
      </c>
      <c r="H17" s="27">
        <f t="shared" si="0"/>
        <v>2152800</v>
      </c>
      <c r="I17" s="27">
        <f t="shared" si="1"/>
        <v>0</v>
      </c>
      <c r="J17" s="27"/>
      <c r="K17" s="27">
        <f t="shared" si="2"/>
        <v>0</v>
      </c>
      <c r="L17" s="27"/>
      <c r="M17" s="25"/>
      <c r="O17" s="29"/>
      <c r="P17" s="31">
        <v>0.2</v>
      </c>
      <c r="Q17" s="29"/>
      <c r="R17" s="29"/>
      <c r="T17" s="29">
        <v>0.1</v>
      </c>
      <c r="U17" s="29">
        <v>0.3</v>
      </c>
      <c r="V17" s="29">
        <v>0.25</v>
      </c>
      <c r="W17" s="29">
        <v>0.2</v>
      </c>
      <c r="X17" s="29">
        <v>0.15</v>
      </c>
      <c r="Y17" s="29"/>
      <c r="Z17" s="29"/>
      <c r="AA17" s="29"/>
      <c r="AB17" s="22">
        <f t="shared" si="3"/>
        <v>1</v>
      </c>
    </row>
    <row r="18" spans="1:28" x14ac:dyDescent="0.25">
      <c r="A18" s="10"/>
      <c r="B18" s="33" t="s">
        <v>50</v>
      </c>
      <c r="C18" s="33"/>
      <c r="D18" s="25" t="s">
        <v>24</v>
      </c>
      <c r="E18" s="25">
        <v>19</v>
      </c>
      <c r="F18" s="25"/>
      <c r="G18" s="26" t="s">
        <v>51</v>
      </c>
      <c r="H18" s="27">
        <f t="shared" si="0"/>
        <v>7345000</v>
      </c>
      <c r="I18" s="27">
        <f t="shared" si="1"/>
        <v>0</v>
      </c>
      <c r="J18" s="27"/>
      <c r="K18" s="27">
        <f t="shared" si="2"/>
        <v>0</v>
      </c>
      <c r="L18" s="27"/>
      <c r="M18" s="25"/>
      <c r="O18" s="29"/>
      <c r="P18" s="29"/>
      <c r="Q18" s="34">
        <v>1</v>
      </c>
      <c r="R18" s="29"/>
      <c r="T18" s="29">
        <v>0.1</v>
      </c>
      <c r="U18" s="29">
        <v>0.3</v>
      </c>
      <c r="V18" s="29">
        <v>0.25</v>
      </c>
      <c r="W18" s="29">
        <v>0.2</v>
      </c>
      <c r="X18" s="29">
        <v>0.15</v>
      </c>
      <c r="Y18" s="29"/>
      <c r="Z18" s="29"/>
      <c r="AA18" s="29"/>
      <c r="AB18" s="22">
        <f t="shared" si="3"/>
        <v>1</v>
      </c>
    </row>
    <row r="19" spans="1:28" ht="14.25" customHeight="1" x14ac:dyDescent="0.25">
      <c r="A19" s="9" t="s">
        <v>26</v>
      </c>
      <c r="B19" s="9"/>
      <c r="C19" s="9"/>
      <c r="D19" s="9"/>
      <c r="E19" s="9"/>
      <c r="F19" s="35"/>
      <c r="G19" s="30"/>
      <c r="H19" s="30"/>
      <c r="I19" s="30"/>
      <c r="J19" s="30"/>
      <c r="K19" s="30"/>
      <c r="L19" s="30"/>
      <c r="M19" s="30"/>
      <c r="O19" s="22">
        <f>SUM(O6:O18)</f>
        <v>1</v>
      </c>
      <c r="P19" s="22">
        <f>SUM(P6:P18)</f>
        <v>1</v>
      </c>
      <c r="Q19" s="22">
        <f>SUM(Q6:Q18)</f>
        <v>1</v>
      </c>
      <c r="R19" s="22">
        <f>SUM(R6:R11)</f>
        <v>0</v>
      </c>
      <c r="T19" s="29">
        <v>0.1</v>
      </c>
      <c r="U19" s="29">
        <v>0.3</v>
      </c>
      <c r="V19" s="29">
        <v>0.25</v>
      </c>
      <c r="W19" s="29">
        <v>0.2</v>
      </c>
      <c r="X19" s="29">
        <v>0.15</v>
      </c>
      <c r="Y19" s="29"/>
      <c r="Z19" s="29"/>
      <c r="AA19" s="29"/>
      <c r="AB19" s="22">
        <f t="shared" si="3"/>
        <v>1</v>
      </c>
    </row>
    <row r="20" spans="1:28" x14ac:dyDescent="0.25">
      <c r="R20" s="36" t="s">
        <v>52</v>
      </c>
      <c r="T20" s="37" t="s">
        <v>53</v>
      </c>
      <c r="AB20" s="36" t="s">
        <v>52</v>
      </c>
    </row>
    <row r="21" spans="1:28" ht="32.25" customHeight="1" x14ac:dyDescent="0.25">
      <c r="A21" s="16" t="s">
        <v>54</v>
      </c>
      <c r="O21" s="8" t="s">
        <v>55</v>
      </c>
      <c r="P21" s="8"/>
      <c r="Q21" s="8"/>
      <c r="R21" s="8"/>
    </row>
    <row r="22" spans="1:28" ht="42.75" x14ac:dyDescent="0.25">
      <c r="A22" s="17" t="s">
        <v>56</v>
      </c>
      <c r="B22" s="17" t="s">
        <v>9</v>
      </c>
      <c r="C22" s="17" t="s">
        <v>57</v>
      </c>
      <c r="D22" s="17" t="s">
        <v>58</v>
      </c>
      <c r="E22" s="17" t="s">
        <v>59</v>
      </c>
      <c r="N22" s="38" t="s">
        <v>60</v>
      </c>
      <c r="O22" s="39"/>
    </row>
    <row r="23" spans="1:28" ht="14.25" customHeight="1" x14ac:dyDescent="0.25">
      <c r="A23" s="14" t="s">
        <v>61</v>
      </c>
      <c r="B23" s="24" t="s">
        <v>22</v>
      </c>
      <c r="C23" s="40">
        <f>SUM(I6,I7,I8,I9,I14,I15,I16)</f>
        <v>0</v>
      </c>
      <c r="D23" s="40">
        <f>SUM(J6,J7,J8,J9,J14,J15,J16)</f>
        <v>0</v>
      </c>
      <c r="E23" s="40">
        <f>SUM(H6,H7,H8,H9,H14,H15,H16)</f>
        <v>25230000</v>
      </c>
      <c r="N23" s="41"/>
      <c r="O23" s="42" t="s">
        <v>22</v>
      </c>
      <c r="P23" s="43" t="s">
        <v>23</v>
      </c>
      <c r="Q23" s="44" t="s">
        <v>24</v>
      </c>
      <c r="R23" s="41" t="s">
        <v>25</v>
      </c>
    </row>
    <row r="24" spans="1:28" ht="28.5" x14ac:dyDescent="0.25">
      <c r="A24" s="14"/>
      <c r="B24" s="24" t="s">
        <v>25</v>
      </c>
      <c r="C24" s="40">
        <v>0</v>
      </c>
      <c r="D24" s="40">
        <v>0</v>
      </c>
      <c r="E24" s="40">
        <v>0</v>
      </c>
      <c r="N24" s="45" t="s">
        <v>62</v>
      </c>
      <c r="O24" s="46">
        <v>25230000</v>
      </c>
      <c r="P24" s="47">
        <v>10764000</v>
      </c>
      <c r="Q24" s="46">
        <v>7345000</v>
      </c>
      <c r="R24" s="46">
        <v>0</v>
      </c>
    </row>
    <row r="25" spans="1:28" ht="14.25" customHeight="1" x14ac:dyDescent="0.25">
      <c r="A25" s="14"/>
      <c r="B25" s="30" t="s">
        <v>63</v>
      </c>
      <c r="C25" s="48">
        <f>C23+C24</f>
        <v>0</v>
      </c>
      <c r="D25" s="48">
        <f>D23+D24</f>
        <v>0</v>
      </c>
      <c r="E25" s="48">
        <f>E23+E24</f>
        <v>25230000</v>
      </c>
      <c r="N25" s="41" t="s">
        <v>64</v>
      </c>
      <c r="O25" s="49"/>
      <c r="P25" s="49"/>
      <c r="Q25" s="49"/>
      <c r="R25" s="50"/>
    </row>
    <row r="26" spans="1:28" ht="42.75" customHeight="1" x14ac:dyDescent="0.25">
      <c r="A26" s="14" t="s">
        <v>65</v>
      </c>
      <c r="B26" s="24" t="s">
        <v>23</v>
      </c>
      <c r="C26" s="40">
        <f>SUM(I10,I11,I12,I13,I17)</f>
        <v>0</v>
      </c>
      <c r="D26" s="40">
        <f>SUM(J10,J11,J12,J13,J17)</f>
        <v>0</v>
      </c>
      <c r="E26" s="40">
        <f>SUM(H10,H11,H12,H13,H17)</f>
        <v>10764000</v>
      </c>
      <c r="N26" s="45" t="s">
        <v>66</v>
      </c>
      <c r="O26" s="49"/>
      <c r="P26" s="49"/>
      <c r="Q26" s="49"/>
      <c r="R26" s="50"/>
    </row>
    <row r="27" spans="1:28" ht="14.25" customHeight="1" x14ac:dyDescent="0.25">
      <c r="A27" s="14"/>
      <c r="B27" s="30" t="s">
        <v>67</v>
      </c>
      <c r="C27" s="48">
        <f>C26</f>
        <v>0</v>
      </c>
      <c r="D27" s="48">
        <f>D26</f>
        <v>0</v>
      </c>
      <c r="E27" s="48">
        <f>E26</f>
        <v>10764000</v>
      </c>
      <c r="N27" s="51"/>
    </row>
    <row r="28" spans="1:28" ht="14.25" customHeight="1" x14ac:dyDescent="0.25">
      <c r="A28" s="14" t="s">
        <v>68</v>
      </c>
      <c r="B28" s="52" t="s">
        <v>24</v>
      </c>
      <c r="C28" s="40">
        <f>I18</f>
        <v>0</v>
      </c>
      <c r="D28" s="40">
        <f>J18</f>
        <v>0</v>
      </c>
      <c r="E28" s="40">
        <f>H18</f>
        <v>7345000</v>
      </c>
      <c r="N28" s="51"/>
      <c r="O28" s="53"/>
    </row>
    <row r="29" spans="1:28" x14ac:dyDescent="0.25">
      <c r="A29" s="14"/>
      <c r="B29" s="30" t="s">
        <v>69</v>
      </c>
      <c r="C29" s="48">
        <f>C28</f>
        <v>0</v>
      </c>
      <c r="D29" s="48">
        <f>D28</f>
        <v>0</v>
      </c>
      <c r="E29" s="48">
        <f>E28</f>
        <v>7345000</v>
      </c>
      <c r="N29" s="16"/>
    </row>
    <row r="30" spans="1:28" x14ac:dyDescent="0.25">
      <c r="A30" s="17" t="s">
        <v>70</v>
      </c>
      <c r="B30" s="30" t="s">
        <v>26</v>
      </c>
      <c r="C30" s="54">
        <f>C25+C27+C29</f>
        <v>0</v>
      </c>
      <c r="D30" s="54">
        <f>D25+D27+D29</f>
        <v>0</v>
      </c>
      <c r="E30" s="54">
        <f>E25+E27+E29</f>
        <v>43339000</v>
      </c>
    </row>
    <row r="32" spans="1:28" x14ac:dyDescent="0.25">
      <c r="A32" s="55" t="s">
        <v>71</v>
      </c>
      <c r="B32" s="56"/>
      <c r="C32" s="56"/>
    </row>
    <row r="33" spans="1:8" ht="15.75" x14ac:dyDescent="0.25">
      <c r="A33" s="57"/>
      <c r="B33" s="58" t="s">
        <v>72</v>
      </c>
      <c r="C33" s="59" t="s">
        <v>73</v>
      </c>
    </row>
    <row r="34" spans="1:8" ht="31.5" x14ac:dyDescent="0.25">
      <c r="A34" s="60" t="s">
        <v>74</v>
      </c>
      <c r="B34" s="61">
        <f>E30</f>
        <v>43339000</v>
      </c>
      <c r="C34" s="62">
        <v>1</v>
      </c>
    </row>
    <row r="35" spans="1:8" ht="15.75" x14ac:dyDescent="0.25">
      <c r="A35" s="63" t="s">
        <v>57</v>
      </c>
      <c r="B35" s="64">
        <f>C30</f>
        <v>0</v>
      </c>
      <c r="C35" s="65">
        <f>B35/B34</f>
        <v>0</v>
      </c>
    </row>
    <row r="36" spans="1:8" ht="31.5" x14ac:dyDescent="0.25">
      <c r="A36" s="66" t="s">
        <v>75</v>
      </c>
      <c r="B36" s="67">
        <f>D30</f>
        <v>0</v>
      </c>
      <c r="C36" s="68">
        <f>B36/B34</f>
        <v>0</v>
      </c>
    </row>
    <row r="40" spans="1:8" x14ac:dyDescent="0.25">
      <c r="H40" s="16"/>
    </row>
    <row r="41" spans="1:8" ht="14.25" customHeight="1" x14ac:dyDescent="0.25">
      <c r="H41" s="69"/>
    </row>
    <row r="42" spans="1:8" ht="15.75" x14ac:dyDescent="0.25">
      <c r="H42" s="69"/>
    </row>
    <row r="43" spans="1:8" ht="14.25" customHeight="1" x14ac:dyDescent="0.25">
      <c r="H43" s="69"/>
    </row>
    <row r="44" spans="1:8" ht="15.75" x14ac:dyDescent="0.25">
      <c r="H44" s="69"/>
    </row>
    <row r="45" spans="1:8" ht="15.75" x14ac:dyDescent="0.25">
      <c r="H45" s="69"/>
    </row>
    <row r="46" spans="1:8" ht="15.75" x14ac:dyDescent="0.25">
      <c r="H46" s="69"/>
    </row>
    <row r="47" spans="1:8" ht="15.75" x14ac:dyDescent="0.25">
      <c r="H47" s="69"/>
    </row>
    <row r="48" spans="1:8" ht="15.75" x14ac:dyDescent="0.25">
      <c r="H48" s="69"/>
    </row>
    <row r="49" spans="8:8" ht="15.75" x14ac:dyDescent="0.25">
      <c r="H49" s="69"/>
    </row>
    <row r="50" spans="8:8" ht="15.75" x14ac:dyDescent="0.25">
      <c r="H50" s="69"/>
    </row>
    <row r="51" spans="8:8" ht="15.75" x14ac:dyDescent="0.25">
      <c r="H51" s="69"/>
    </row>
    <row r="52" spans="8:8" ht="15.75" x14ac:dyDescent="0.25">
      <c r="H52" s="69"/>
    </row>
    <row r="53" spans="8:8" ht="15.75" x14ac:dyDescent="0.25">
      <c r="H53" s="69"/>
    </row>
    <row r="54" spans="8:8" ht="15.75" x14ac:dyDescent="0.25">
      <c r="H54" s="69"/>
    </row>
  </sheetData>
  <mergeCells count="24">
    <mergeCell ref="A19:E19"/>
    <mergeCell ref="O21:R21"/>
    <mergeCell ref="A23:A25"/>
    <mergeCell ref="A26:A27"/>
    <mergeCell ref="A28:A29"/>
    <mergeCell ref="A6:A7"/>
    <mergeCell ref="A8:A9"/>
    <mergeCell ref="A10:A11"/>
    <mergeCell ref="A12:A13"/>
    <mergeCell ref="A14:A18"/>
    <mergeCell ref="M2:M5"/>
    <mergeCell ref="O2:AB3"/>
    <mergeCell ref="D4:D5"/>
    <mergeCell ref="E4:E5"/>
    <mergeCell ref="F4:F5"/>
    <mergeCell ref="G4:G5"/>
    <mergeCell ref="H4:H5"/>
    <mergeCell ref="I4:J4"/>
    <mergeCell ref="K4:L4"/>
    <mergeCell ref="A2:A5"/>
    <mergeCell ref="B2:B5"/>
    <mergeCell ref="C2:C5"/>
    <mergeCell ref="D2:G3"/>
    <mergeCell ref="H2:L3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40"/>
  <sheetViews>
    <sheetView topLeftCell="A17" zoomScaleNormal="100" workbookViewId="0">
      <selection activeCell="H17" sqref="H17"/>
    </sheetView>
  </sheetViews>
  <sheetFormatPr defaultRowHeight="15" x14ac:dyDescent="0.25"/>
  <cols>
    <col min="1" max="1" width="20.140625" style="15" customWidth="1"/>
    <col min="2" max="2" width="12.7109375" style="15" customWidth="1"/>
    <col min="3" max="4" width="12.140625" style="15" customWidth="1"/>
    <col min="5" max="5" width="15" style="15" customWidth="1"/>
    <col min="6" max="6" width="12.140625" style="15" customWidth="1"/>
    <col min="7" max="7" width="10.7109375" style="15" customWidth="1"/>
    <col min="8" max="10" width="11.42578125" style="15"/>
    <col min="11" max="11" width="13.5703125" style="15" customWidth="1"/>
    <col min="12" max="12" width="9.85546875" style="15" customWidth="1"/>
    <col min="13" max="14" width="9.140625" style="15" customWidth="1"/>
    <col min="15" max="15" width="9.85546875" style="15" customWidth="1"/>
    <col min="16" max="1025" width="9.140625" style="15" customWidth="1"/>
  </cols>
  <sheetData>
    <row r="1" spans="1:15" x14ac:dyDescent="0.25">
      <c r="A1" s="7" t="s">
        <v>137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ht="14.2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6" t="s">
        <v>6</v>
      </c>
      <c r="I2" s="6"/>
      <c r="J2" s="6"/>
      <c r="K2" s="6"/>
      <c r="L2" s="6"/>
      <c r="M2" s="14" t="s">
        <v>7</v>
      </c>
    </row>
    <row r="3" spans="1:15" ht="14.25" customHeight="1" x14ac:dyDescent="0.25">
      <c r="A3" s="14"/>
      <c r="B3" s="14"/>
      <c r="C3" s="14"/>
      <c r="D3" s="14"/>
      <c r="E3" s="14"/>
      <c r="F3" s="14"/>
      <c r="G3" s="14"/>
      <c r="H3" s="6"/>
      <c r="I3" s="6"/>
      <c r="J3" s="6"/>
      <c r="K3" s="6"/>
      <c r="L3" s="6"/>
      <c r="M3" s="14"/>
    </row>
    <row r="4" spans="1:15" ht="14.2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12" t="s">
        <v>114</v>
      </c>
      <c r="I4" s="12" t="s">
        <v>14</v>
      </c>
      <c r="J4" s="12"/>
      <c r="K4" s="12" t="s">
        <v>15</v>
      </c>
      <c r="L4" s="12"/>
      <c r="M4" s="14"/>
    </row>
    <row r="5" spans="1:15" ht="55.5" customHeight="1" x14ac:dyDescent="0.25">
      <c r="A5" s="14"/>
      <c r="B5" s="14"/>
      <c r="C5" s="14"/>
      <c r="D5" s="12"/>
      <c r="E5" s="12"/>
      <c r="F5" s="12"/>
      <c r="G5" s="12"/>
      <c r="H5" s="12"/>
      <c r="I5" s="71" t="s">
        <v>77</v>
      </c>
      <c r="J5" s="71" t="s">
        <v>78</v>
      </c>
      <c r="K5" s="71" t="s">
        <v>79</v>
      </c>
      <c r="L5" s="71" t="s">
        <v>80</v>
      </c>
      <c r="M5" s="14"/>
    </row>
    <row r="6" spans="1:15" x14ac:dyDescent="0.25">
      <c r="A6" s="23" t="s">
        <v>27</v>
      </c>
      <c r="B6" s="24" t="s">
        <v>28</v>
      </c>
      <c r="C6" s="24"/>
      <c r="D6" s="25" t="s">
        <v>22</v>
      </c>
      <c r="E6" s="129">
        <v>4</v>
      </c>
      <c r="F6" s="130" t="s">
        <v>82</v>
      </c>
      <c r="G6" s="88" t="s">
        <v>83</v>
      </c>
      <c r="H6" s="104">
        <f>I6/0.95</f>
        <v>0</v>
      </c>
      <c r="I6" s="104">
        <v>0</v>
      </c>
      <c r="J6" s="105">
        <v>0</v>
      </c>
      <c r="K6" s="105">
        <f>H6*0.05</f>
        <v>0</v>
      </c>
      <c r="L6" s="105">
        <v>0</v>
      </c>
      <c r="M6" s="104">
        <v>0</v>
      </c>
      <c r="O6" s="53"/>
    </row>
    <row r="7" spans="1:15" ht="14.25" customHeight="1" x14ac:dyDescent="0.25">
      <c r="A7" s="23" t="s">
        <v>31</v>
      </c>
      <c r="B7" s="24" t="s">
        <v>34</v>
      </c>
      <c r="C7" s="24"/>
      <c r="D7" s="25" t="s">
        <v>22</v>
      </c>
      <c r="E7" s="125">
        <v>4</v>
      </c>
      <c r="F7" s="90" t="s">
        <v>82</v>
      </c>
      <c r="G7" s="88" t="s">
        <v>83</v>
      </c>
      <c r="H7" s="104">
        <f>I7/0.95</f>
        <v>0</v>
      </c>
      <c r="I7" s="104">
        <v>0</v>
      </c>
      <c r="J7" s="105">
        <v>0</v>
      </c>
      <c r="K7" s="105">
        <f>H7*0.05</f>
        <v>0</v>
      </c>
      <c r="L7" s="105">
        <v>0</v>
      </c>
      <c r="M7" s="104">
        <v>0</v>
      </c>
      <c r="O7" s="53"/>
    </row>
    <row r="8" spans="1:15" ht="14.25" customHeight="1" x14ac:dyDescent="0.25">
      <c r="A8" s="23" t="s">
        <v>84</v>
      </c>
      <c r="B8" s="24" t="s">
        <v>85</v>
      </c>
      <c r="C8" s="24"/>
      <c r="D8" s="25" t="s">
        <v>22</v>
      </c>
      <c r="E8" s="125">
        <v>4</v>
      </c>
      <c r="F8" s="90" t="s">
        <v>82</v>
      </c>
      <c r="G8" s="88" t="s">
        <v>83</v>
      </c>
      <c r="H8" s="104">
        <f>I8/0.95</f>
        <v>0</v>
      </c>
      <c r="I8" s="104">
        <v>0</v>
      </c>
      <c r="J8" s="105">
        <v>0</v>
      </c>
      <c r="K8" s="105">
        <f>H8*0.025</f>
        <v>0</v>
      </c>
      <c r="L8" s="105">
        <f>H8*0.025</f>
        <v>0</v>
      </c>
      <c r="M8" s="104">
        <v>0</v>
      </c>
      <c r="O8" s="53"/>
    </row>
    <row r="9" spans="1:15" x14ac:dyDescent="0.25">
      <c r="A9" s="23" t="s">
        <v>86</v>
      </c>
      <c r="B9" s="24" t="s">
        <v>87</v>
      </c>
      <c r="C9" s="24"/>
      <c r="D9" s="25" t="s">
        <v>24</v>
      </c>
      <c r="E9" s="90" t="s">
        <v>88</v>
      </c>
      <c r="F9" s="90" t="s">
        <v>89</v>
      </c>
      <c r="G9" s="88" t="s">
        <v>90</v>
      </c>
      <c r="H9" s="104">
        <v>0</v>
      </c>
      <c r="I9" s="104">
        <v>0</v>
      </c>
      <c r="J9" s="105">
        <f>H9*0.8*0.25</f>
        <v>0</v>
      </c>
      <c r="K9" s="105">
        <v>0</v>
      </c>
      <c r="L9" s="105">
        <f>H9*0.2</f>
        <v>0</v>
      </c>
      <c r="M9" s="104">
        <v>0</v>
      </c>
      <c r="O9" s="53"/>
    </row>
    <row r="10" spans="1:15" ht="14.25" customHeight="1" x14ac:dyDescent="0.25">
      <c r="A10" s="10" t="s">
        <v>35</v>
      </c>
      <c r="B10" s="24" t="s">
        <v>36</v>
      </c>
      <c r="C10" s="24"/>
      <c r="D10" s="25" t="s">
        <v>24</v>
      </c>
      <c r="E10" s="90" t="s">
        <v>88</v>
      </c>
      <c r="F10" s="90" t="s">
        <v>89</v>
      </c>
      <c r="G10" s="88" t="s">
        <v>91</v>
      </c>
      <c r="H10" s="104">
        <v>0</v>
      </c>
      <c r="I10" s="104">
        <v>0</v>
      </c>
      <c r="J10" s="105">
        <f>H10*0.5*0.25</f>
        <v>0</v>
      </c>
      <c r="K10" s="105">
        <v>0</v>
      </c>
      <c r="L10" s="105">
        <f>H10*0.5</f>
        <v>0</v>
      </c>
      <c r="M10" s="104">
        <v>0</v>
      </c>
      <c r="O10" s="53"/>
    </row>
    <row r="11" spans="1:15" x14ac:dyDescent="0.25">
      <c r="A11" s="10"/>
      <c r="B11" s="33" t="s">
        <v>39</v>
      </c>
      <c r="C11" s="33"/>
      <c r="D11" s="25" t="s">
        <v>24</v>
      </c>
      <c r="E11" s="90" t="s">
        <v>88</v>
      </c>
      <c r="F11" s="90" t="s">
        <v>89</v>
      </c>
      <c r="G11" s="88" t="s">
        <v>91</v>
      </c>
      <c r="H11" s="104">
        <v>0</v>
      </c>
      <c r="I11" s="104">
        <v>0</v>
      </c>
      <c r="J11" s="105">
        <f>H11*0.5*0.25</f>
        <v>0</v>
      </c>
      <c r="K11" s="105">
        <v>0</v>
      </c>
      <c r="L11" s="105">
        <f>H11*0.5</f>
        <v>0</v>
      </c>
      <c r="M11" s="104">
        <v>0</v>
      </c>
      <c r="O11" s="53"/>
    </row>
    <row r="12" spans="1:15" x14ac:dyDescent="0.25">
      <c r="A12" s="10"/>
      <c r="B12" s="33" t="s">
        <v>92</v>
      </c>
      <c r="C12" s="33"/>
      <c r="D12" s="25" t="s">
        <v>24</v>
      </c>
      <c r="E12" s="90" t="s">
        <v>88</v>
      </c>
      <c r="F12" s="90" t="s">
        <v>89</v>
      </c>
      <c r="G12" s="88" t="s">
        <v>91</v>
      </c>
      <c r="H12" s="87">
        <v>0</v>
      </c>
      <c r="I12" s="104">
        <v>0</v>
      </c>
      <c r="J12" s="105">
        <f>H12*0.45*0.25</f>
        <v>0</v>
      </c>
      <c r="K12" s="105">
        <v>0</v>
      </c>
      <c r="L12" s="105">
        <f>H12*0.55</f>
        <v>0</v>
      </c>
      <c r="M12" s="104">
        <v>0</v>
      </c>
      <c r="O12" s="53"/>
    </row>
    <row r="13" spans="1:15" ht="14.25" customHeight="1" x14ac:dyDescent="0.25">
      <c r="A13" s="10" t="s">
        <v>40</v>
      </c>
      <c r="B13" s="33" t="s">
        <v>41</v>
      </c>
      <c r="C13" s="33"/>
      <c r="D13" s="25" t="s">
        <v>37</v>
      </c>
      <c r="E13" s="83">
        <v>2</v>
      </c>
      <c r="F13" s="84" t="s">
        <v>93</v>
      </c>
      <c r="G13" s="26" t="s">
        <v>94</v>
      </c>
      <c r="H13" s="104">
        <v>0</v>
      </c>
      <c r="I13" s="104">
        <v>0</v>
      </c>
      <c r="J13" s="105">
        <f>H13/2*0.1</f>
        <v>0</v>
      </c>
      <c r="K13" s="105">
        <f>H13/2*0.05</f>
        <v>0</v>
      </c>
      <c r="L13" s="105">
        <f>H13/2*0.15</f>
        <v>0</v>
      </c>
      <c r="M13" s="104">
        <v>0</v>
      </c>
      <c r="O13" s="53"/>
    </row>
    <row r="14" spans="1:15" x14ac:dyDescent="0.25">
      <c r="A14" s="10"/>
      <c r="B14" s="33" t="s">
        <v>42</v>
      </c>
      <c r="C14" s="33"/>
      <c r="D14" s="25" t="s">
        <v>22</v>
      </c>
      <c r="E14" s="74">
        <v>4</v>
      </c>
      <c r="F14" s="75" t="s">
        <v>82</v>
      </c>
      <c r="G14" s="26" t="s">
        <v>83</v>
      </c>
      <c r="H14" s="104">
        <v>0</v>
      </c>
      <c r="I14" s="104">
        <v>0</v>
      </c>
      <c r="J14" s="105">
        <v>0</v>
      </c>
      <c r="K14" s="105">
        <v>0</v>
      </c>
      <c r="L14" s="105">
        <f>H14*0.05</f>
        <v>0</v>
      </c>
      <c r="M14" s="104">
        <v>0</v>
      </c>
      <c r="O14" s="53"/>
    </row>
    <row r="15" spans="1:15" x14ac:dyDescent="0.25">
      <c r="A15" s="10"/>
      <c r="B15" s="33" t="s">
        <v>96</v>
      </c>
      <c r="C15" s="33"/>
      <c r="D15" s="25" t="s">
        <v>37</v>
      </c>
      <c r="E15" s="83">
        <v>2</v>
      </c>
      <c r="F15" s="84" t="s">
        <v>93</v>
      </c>
      <c r="G15" s="26" t="s">
        <v>94</v>
      </c>
      <c r="H15" s="104">
        <v>0</v>
      </c>
      <c r="I15" s="104">
        <v>0</v>
      </c>
      <c r="J15" s="105">
        <f>H15*0.1</f>
        <v>0</v>
      </c>
      <c r="K15" s="105">
        <f>H15*0.05</f>
        <v>0</v>
      </c>
      <c r="L15" s="105">
        <v>0</v>
      </c>
      <c r="M15" s="104">
        <v>0</v>
      </c>
      <c r="O15" s="53"/>
    </row>
    <row r="16" spans="1:15" s="100" customFormat="1" ht="14.25" hidden="1" x14ac:dyDescent="0.25">
      <c r="A16" s="10"/>
      <c r="B16" s="95" t="s">
        <v>97</v>
      </c>
      <c r="C16" s="95"/>
      <c r="D16" s="96" t="s">
        <v>37</v>
      </c>
      <c r="E16" s="96">
        <v>2</v>
      </c>
      <c r="F16" s="97" t="s">
        <v>93</v>
      </c>
      <c r="G16" s="97" t="s">
        <v>94</v>
      </c>
      <c r="H16" s="98">
        <f>I16/0.85</f>
        <v>0</v>
      </c>
      <c r="I16" s="98">
        <v>0</v>
      </c>
      <c r="J16" s="99">
        <v>0</v>
      </c>
      <c r="K16" s="99">
        <v>0</v>
      </c>
      <c r="L16" s="99">
        <f>H16*0.15</f>
        <v>0</v>
      </c>
      <c r="M16" s="98">
        <v>0</v>
      </c>
      <c r="O16" s="101"/>
    </row>
    <row r="17" spans="1:15" x14ac:dyDescent="0.25">
      <c r="A17" s="102" t="s">
        <v>43</v>
      </c>
      <c r="B17" s="103" t="s">
        <v>44</v>
      </c>
      <c r="C17" s="33"/>
      <c r="D17" s="25" t="s">
        <v>98</v>
      </c>
      <c r="E17" s="25">
        <v>4</v>
      </c>
      <c r="F17" s="25"/>
      <c r="G17" s="26" t="s">
        <v>99</v>
      </c>
      <c r="H17" s="111">
        <f>I17/0.85</f>
        <v>762.35294117647061</v>
      </c>
      <c r="I17" s="111">
        <v>648</v>
      </c>
      <c r="J17" s="134">
        <v>0</v>
      </c>
      <c r="K17" s="134">
        <f>H17*0.15</f>
        <v>114.35294117647059</v>
      </c>
      <c r="L17" s="134">
        <v>0</v>
      </c>
      <c r="M17" s="111">
        <v>0</v>
      </c>
      <c r="O17" s="53"/>
    </row>
    <row r="18" spans="1:15" ht="14.25" customHeight="1" x14ac:dyDescent="0.25">
      <c r="A18" s="9" t="s">
        <v>26</v>
      </c>
      <c r="B18" s="9"/>
      <c r="C18" s="9"/>
      <c r="D18" s="9"/>
      <c r="E18" s="9"/>
      <c r="F18" s="35"/>
      <c r="G18" s="30"/>
      <c r="H18" s="30"/>
      <c r="I18" s="30"/>
      <c r="J18" s="30"/>
      <c r="K18" s="30"/>
      <c r="L18" s="30"/>
      <c r="M18" s="30"/>
      <c r="O18" s="53"/>
    </row>
    <row r="20" spans="1:15" x14ac:dyDescent="0.25">
      <c r="A20" s="146" t="s">
        <v>138</v>
      </c>
      <c r="B20" s="146"/>
      <c r="C20" s="146"/>
      <c r="D20" s="146"/>
      <c r="E20" s="146"/>
    </row>
    <row r="21" spans="1:15" ht="42.75" x14ac:dyDescent="0.25">
      <c r="A21" s="17" t="s">
        <v>56</v>
      </c>
      <c r="B21" s="17" t="s">
        <v>9</v>
      </c>
      <c r="C21" s="17" t="s">
        <v>101</v>
      </c>
      <c r="D21" s="17" t="s">
        <v>102</v>
      </c>
      <c r="E21" s="17" t="s">
        <v>103</v>
      </c>
    </row>
    <row r="22" spans="1:15" ht="14.25" customHeight="1" x14ac:dyDescent="0.25">
      <c r="A22" s="14" t="s">
        <v>61</v>
      </c>
      <c r="B22" s="24" t="s">
        <v>22</v>
      </c>
      <c r="C22" s="104">
        <f>SUM(I6,I7,I8,I14)</f>
        <v>0</v>
      </c>
      <c r="D22" s="104">
        <f>SUM(J6,J7,J8,J14,K6,K7,K8,K14,L6,L7,L8,L14)</f>
        <v>0</v>
      </c>
      <c r="E22" s="104">
        <f>SUM(H6,H7,H8,H14)</f>
        <v>0</v>
      </c>
    </row>
    <row r="23" spans="1:15" x14ac:dyDescent="0.25">
      <c r="A23" s="14"/>
      <c r="B23" s="24" t="s">
        <v>25</v>
      </c>
      <c r="C23" s="104">
        <f>SUM((I17))</f>
        <v>648</v>
      </c>
      <c r="D23" s="104">
        <f>SUM(J17,K17,L17)</f>
        <v>114.35294117647059</v>
      </c>
      <c r="E23" s="104">
        <f>SUM(H17)</f>
        <v>762.35294117647061</v>
      </c>
    </row>
    <row r="24" spans="1:15" x14ac:dyDescent="0.25">
      <c r="A24" s="14"/>
      <c r="B24" s="30" t="s">
        <v>63</v>
      </c>
      <c r="C24" s="108">
        <f>SUM(C22:C23)</f>
        <v>648</v>
      </c>
      <c r="D24" s="108">
        <f>SUM(D22:D23)</f>
        <v>114.35294117647059</v>
      </c>
      <c r="E24" s="108">
        <f>SUM(E22,E23)</f>
        <v>762.35294117647061</v>
      </c>
    </row>
    <row r="25" spans="1:15" ht="14.25" customHeight="1" x14ac:dyDescent="0.25">
      <c r="A25" s="14" t="s">
        <v>65</v>
      </c>
      <c r="B25" s="24" t="s">
        <v>23</v>
      </c>
      <c r="C25" s="104">
        <f>SUM(I13,I15,I16)</f>
        <v>0</v>
      </c>
      <c r="D25" s="104">
        <f>SUM(J13,J15,J16,K13,K15,K16,L13,L15,L16)</f>
        <v>0</v>
      </c>
      <c r="E25" s="104">
        <f>SUM(H13,H15,H16)</f>
        <v>0</v>
      </c>
    </row>
    <row r="26" spans="1:15" x14ac:dyDescent="0.25">
      <c r="A26" s="14"/>
      <c r="B26" s="30" t="s">
        <v>67</v>
      </c>
      <c r="C26" s="108">
        <f>SUM(C25)</f>
        <v>0</v>
      </c>
      <c r="D26" s="108">
        <f>SUM(D25)</f>
        <v>0</v>
      </c>
      <c r="E26" s="108">
        <f>SUM(E25)</f>
        <v>0</v>
      </c>
    </row>
    <row r="27" spans="1:15" ht="14.25" customHeight="1" x14ac:dyDescent="0.25">
      <c r="A27" s="14" t="s">
        <v>68</v>
      </c>
      <c r="B27" s="52" t="s">
        <v>24</v>
      </c>
      <c r="C27" s="126">
        <f>SUM(I9,I10,I11,I12)</f>
        <v>0</v>
      </c>
      <c r="D27" s="104">
        <f>SUM(J9,J10,J11,J12,K9,K10,K11,K12,L9,L10,L11,L12)</f>
        <v>0</v>
      </c>
      <c r="E27" s="104">
        <f>SUM(H9,H10,H11,H12)</f>
        <v>0</v>
      </c>
    </row>
    <row r="28" spans="1:15" x14ac:dyDescent="0.25">
      <c r="A28" s="14"/>
      <c r="B28" s="30" t="s">
        <v>69</v>
      </c>
      <c r="C28" s="108">
        <f>SUM(C27)</f>
        <v>0</v>
      </c>
      <c r="D28" s="108">
        <f>SUM(D27)</f>
        <v>0</v>
      </c>
      <c r="E28" s="108">
        <f>SUM(E27)</f>
        <v>0</v>
      </c>
    </row>
    <row r="29" spans="1:15" x14ac:dyDescent="0.25">
      <c r="A29" s="17" t="s">
        <v>70</v>
      </c>
      <c r="B29" s="30" t="s">
        <v>26</v>
      </c>
      <c r="C29" s="127">
        <f>C24+C26+C28</f>
        <v>648</v>
      </c>
      <c r="D29" s="127">
        <f>D24+D26+D28</f>
        <v>114.35294117647059</v>
      </c>
      <c r="E29" s="127">
        <f>E24+E26+E28</f>
        <v>762.35294117647061</v>
      </c>
    </row>
    <row r="31" spans="1:15" x14ac:dyDescent="0.25">
      <c r="A31" s="2" t="s">
        <v>139</v>
      </c>
      <c r="B31" s="2"/>
      <c r="C31" s="2"/>
      <c r="D31" s="2"/>
      <c r="E31" s="2"/>
      <c r="F31" s="2"/>
      <c r="G31" s="2"/>
      <c r="H31" s="2"/>
      <c r="I31" s="2"/>
      <c r="J31" s="2"/>
    </row>
    <row r="32" spans="1:15" ht="15" customHeight="1" x14ac:dyDescent="0.25">
      <c r="A32" s="1" t="s">
        <v>105</v>
      </c>
      <c r="B32" s="1" t="s">
        <v>140</v>
      </c>
      <c r="C32" s="1" t="s">
        <v>11</v>
      </c>
      <c r="D32" s="1" t="s">
        <v>107</v>
      </c>
      <c r="E32" s="141" t="s">
        <v>108</v>
      </c>
      <c r="F32" s="141"/>
      <c r="G32" s="141"/>
      <c r="H32" s="141"/>
      <c r="I32" s="141"/>
      <c r="J32" s="142" t="s">
        <v>7</v>
      </c>
    </row>
    <row r="33" spans="1:10" ht="14.25" customHeight="1" x14ac:dyDescent="0.25">
      <c r="A33" s="1"/>
      <c r="B33" s="1"/>
      <c r="C33" s="1"/>
      <c r="D33" s="1"/>
      <c r="E33" s="143" t="s">
        <v>13</v>
      </c>
      <c r="F33" s="144" t="s">
        <v>109</v>
      </c>
      <c r="G33" s="144"/>
      <c r="H33" s="144" t="s">
        <v>15</v>
      </c>
      <c r="I33" s="144"/>
      <c r="J33" s="142"/>
    </row>
    <row r="34" spans="1:10" ht="14.25" customHeight="1" x14ac:dyDescent="0.25">
      <c r="A34" s="1"/>
      <c r="B34" s="1"/>
      <c r="C34" s="1"/>
      <c r="D34" s="1"/>
      <c r="E34" s="143"/>
      <c r="F34" s="144"/>
      <c r="G34" s="144"/>
      <c r="H34" s="144"/>
      <c r="I34" s="144"/>
      <c r="J34" s="142"/>
    </row>
    <row r="35" spans="1:10" ht="63.75" x14ac:dyDescent="0.25">
      <c r="A35" s="1"/>
      <c r="B35" s="1"/>
      <c r="C35" s="1"/>
      <c r="D35" s="1"/>
      <c r="E35" s="143"/>
      <c r="F35" s="113" t="s">
        <v>110</v>
      </c>
      <c r="G35" s="114" t="s">
        <v>111</v>
      </c>
      <c r="H35" s="113" t="s">
        <v>112</v>
      </c>
      <c r="I35" s="113" t="s">
        <v>80</v>
      </c>
      <c r="J35" s="142"/>
    </row>
    <row r="36" spans="1:10" x14ac:dyDescent="0.25">
      <c r="A36" s="115" t="s">
        <v>23</v>
      </c>
      <c r="B36" s="116">
        <v>2</v>
      </c>
      <c r="C36" s="120" t="s">
        <v>93</v>
      </c>
      <c r="D36" s="117" t="s">
        <v>94</v>
      </c>
      <c r="E36" s="119">
        <f t="shared" ref="E36:J36" si="0">SUM(H13,H15,H16)</f>
        <v>0</v>
      </c>
      <c r="F36" s="119">
        <f t="shared" si="0"/>
        <v>0</v>
      </c>
      <c r="G36" s="119">
        <f t="shared" si="0"/>
        <v>0</v>
      </c>
      <c r="H36" s="119">
        <f t="shared" si="0"/>
        <v>0</v>
      </c>
      <c r="I36" s="119">
        <f t="shared" si="0"/>
        <v>0</v>
      </c>
      <c r="J36" s="119">
        <f t="shared" si="0"/>
        <v>0</v>
      </c>
    </row>
    <row r="37" spans="1:10" ht="14.25" customHeight="1" x14ac:dyDescent="0.25">
      <c r="A37" s="145" t="s">
        <v>24</v>
      </c>
      <c r="B37" s="120" t="s">
        <v>88</v>
      </c>
      <c r="C37" s="120" t="s">
        <v>89</v>
      </c>
      <c r="D37" s="120" t="s">
        <v>91</v>
      </c>
      <c r="E37" s="119">
        <f t="shared" ref="E37:J37" si="1">SUM(H10,H11,H12)</f>
        <v>0</v>
      </c>
      <c r="F37" s="119">
        <f t="shared" si="1"/>
        <v>0</v>
      </c>
      <c r="G37" s="119">
        <f t="shared" si="1"/>
        <v>0</v>
      </c>
      <c r="H37" s="119">
        <f t="shared" si="1"/>
        <v>0</v>
      </c>
      <c r="I37" s="119">
        <f t="shared" si="1"/>
        <v>0</v>
      </c>
      <c r="J37" s="119">
        <f t="shared" si="1"/>
        <v>0</v>
      </c>
    </row>
    <row r="38" spans="1:10" x14ac:dyDescent="0.25">
      <c r="A38" s="145"/>
      <c r="B38" s="120" t="s">
        <v>88</v>
      </c>
      <c r="C38" s="120" t="s">
        <v>89</v>
      </c>
      <c r="D38" s="120" t="s">
        <v>90</v>
      </c>
      <c r="E38" s="119">
        <f t="shared" ref="E38:J38" si="2">SUM(H9)</f>
        <v>0</v>
      </c>
      <c r="F38" s="119">
        <f t="shared" si="2"/>
        <v>0</v>
      </c>
      <c r="G38" s="119">
        <f t="shared" si="2"/>
        <v>0</v>
      </c>
      <c r="H38" s="119">
        <f t="shared" si="2"/>
        <v>0</v>
      </c>
      <c r="I38" s="119">
        <f t="shared" si="2"/>
        <v>0</v>
      </c>
      <c r="J38" s="119">
        <f t="shared" si="2"/>
        <v>0</v>
      </c>
    </row>
    <row r="39" spans="1:10" x14ac:dyDescent="0.25">
      <c r="A39" s="115" t="s">
        <v>22</v>
      </c>
      <c r="B39" s="121">
        <v>4</v>
      </c>
      <c r="C39" s="121" t="s">
        <v>82</v>
      </c>
      <c r="D39" s="122" t="s">
        <v>83</v>
      </c>
      <c r="E39" s="119">
        <f t="shared" ref="E39:J39" si="3">SUM(H6,H7,H8,H14)</f>
        <v>0</v>
      </c>
      <c r="F39" s="119">
        <f t="shared" si="3"/>
        <v>0</v>
      </c>
      <c r="G39" s="119">
        <f t="shared" si="3"/>
        <v>0</v>
      </c>
      <c r="H39" s="119">
        <f t="shared" si="3"/>
        <v>0</v>
      </c>
      <c r="I39" s="119">
        <f t="shared" si="3"/>
        <v>0</v>
      </c>
      <c r="J39" s="119">
        <f t="shared" si="3"/>
        <v>0</v>
      </c>
    </row>
    <row r="40" spans="1:10" x14ac:dyDescent="0.25">
      <c r="A40" s="123" t="s">
        <v>25</v>
      </c>
      <c r="B40" s="52">
        <v>4</v>
      </c>
      <c r="C40" s="52"/>
      <c r="D40" s="124" t="s">
        <v>99</v>
      </c>
      <c r="E40" s="119">
        <f t="shared" ref="E40:J40" si="4">SUM(H17)</f>
        <v>762.35294117647061</v>
      </c>
      <c r="F40" s="119">
        <f t="shared" si="4"/>
        <v>648</v>
      </c>
      <c r="G40" s="119">
        <f t="shared" si="4"/>
        <v>0</v>
      </c>
      <c r="H40" s="119">
        <f t="shared" si="4"/>
        <v>114.35294117647059</v>
      </c>
      <c r="I40" s="119">
        <f t="shared" si="4"/>
        <v>0</v>
      </c>
      <c r="J40" s="119">
        <f t="shared" si="4"/>
        <v>0</v>
      </c>
    </row>
  </sheetData>
  <mergeCells count="32"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  <mergeCell ref="A10:A12"/>
    <mergeCell ref="A13:A16"/>
    <mergeCell ref="A18:E18"/>
    <mergeCell ref="A20:E20"/>
    <mergeCell ref="A22:A24"/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40"/>
  <sheetViews>
    <sheetView tabSelected="1" zoomScaleNormal="100" workbookViewId="0">
      <selection activeCell="I18" sqref="I18"/>
    </sheetView>
  </sheetViews>
  <sheetFormatPr defaultRowHeight="15" x14ac:dyDescent="0.25"/>
  <cols>
    <col min="1" max="1" width="20.140625" style="15" customWidth="1"/>
    <col min="2" max="2" width="12.7109375" style="15" customWidth="1"/>
    <col min="3" max="4" width="12.140625" style="15" customWidth="1"/>
    <col min="5" max="5" width="15" style="15" customWidth="1"/>
    <col min="6" max="6" width="12.140625" style="15" customWidth="1"/>
    <col min="7" max="7" width="10.7109375" style="15" customWidth="1"/>
    <col min="8" max="10" width="11.42578125" style="15"/>
    <col min="11" max="11" width="13.5703125" style="15" customWidth="1"/>
    <col min="12" max="12" width="9.85546875" style="15" customWidth="1"/>
    <col min="13" max="13" width="11.28515625" style="15" customWidth="1"/>
    <col min="14" max="14" width="9.140625" style="15" customWidth="1"/>
    <col min="15" max="15" width="4.42578125" style="15" hidden="1" customWidth="1"/>
    <col min="16" max="16" width="8.28515625" style="15" hidden="1" customWidth="1"/>
    <col min="17" max="1025" width="9.140625" style="15" customWidth="1"/>
  </cols>
  <sheetData>
    <row r="1" spans="1:18" x14ac:dyDescent="0.25">
      <c r="A1" s="7" t="s">
        <v>76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8" ht="14.2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6" t="s">
        <v>6</v>
      </c>
      <c r="I2" s="6"/>
      <c r="J2" s="6"/>
      <c r="K2" s="6"/>
      <c r="L2" s="6"/>
      <c r="M2" s="14" t="s">
        <v>7</v>
      </c>
    </row>
    <row r="3" spans="1:18" ht="14.25" customHeight="1" x14ac:dyDescent="0.25">
      <c r="A3" s="14"/>
      <c r="B3" s="14"/>
      <c r="C3" s="14"/>
      <c r="D3" s="14"/>
      <c r="E3" s="14"/>
      <c r="F3" s="14"/>
      <c r="G3" s="14"/>
      <c r="H3" s="6"/>
      <c r="I3" s="6"/>
      <c r="J3" s="6"/>
      <c r="K3" s="6"/>
      <c r="L3" s="6"/>
      <c r="M3" s="14"/>
    </row>
    <row r="4" spans="1:18" ht="27.7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5" t="s">
        <v>13</v>
      </c>
      <c r="I4" s="5" t="s">
        <v>14</v>
      </c>
      <c r="J4" s="5"/>
      <c r="K4" s="5" t="s">
        <v>15</v>
      </c>
      <c r="L4" s="5"/>
      <c r="M4" s="14"/>
    </row>
    <row r="5" spans="1:18" ht="71.25" customHeight="1" x14ac:dyDescent="0.25">
      <c r="A5" s="14"/>
      <c r="B5" s="14"/>
      <c r="C5" s="14"/>
      <c r="D5" s="12"/>
      <c r="E5" s="12"/>
      <c r="F5" s="12"/>
      <c r="G5" s="12"/>
      <c r="H5" s="5"/>
      <c r="I5" s="71" t="s">
        <v>77</v>
      </c>
      <c r="J5" s="71" t="s">
        <v>78</v>
      </c>
      <c r="K5" s="71" t="s">
        <v>79</v>
      </c>
      <c r="L5" s="71" t="s">
        <v>80</v>
      </c>
      <c r="M5" s="14"/>
      <c r="P5" s="18" t="s">
        <v>81</v>
      </c>
    </row>
    <row r="6" spans="1:18" s="79" customFormat="1" ht="14.25" x14ac:dyDescent="0.25">
      <c r="A6" s="72" t="s">
        <v>27</v>
      </c>
      <c r="B6" s="73" t="s">
        <v>28</v>
      </c>
      <c r="C6" s="73"/>
      <c r="D6" s="74" t="s">
        <v>22</v>
      </c>
      <c r="E6" s="74">
        <v>4</v>
      </c>
      <c r="F6" s="75" t="s">
        <v>82</v>
      </c>
      <c r="G6" s="75" t="s">
        <v>83</v>
      </c>
      <c r="H6" s="76">
        <v>24093.7</v>
      </c>
      <c r="I6" s="76">
        <v>22889</v>
      </c>
      <c r="J6" s="77">
        <v>0</v>
      </c>
      <c r="K6" s="77">
        <v>1204.7</v>
      </c>
      <c r="L6" s="77">
        <v>0</v>
      </c>
      <c r="M6" s="78">
        <v>0</v>
      </c>
      <c r="O6" s="74" t="s">
        <v>22</v>
      </c>
      <c r="P6" s="80">
        <f t="shared" ref="P6:P17" si="0">SUM(I6,J6)</f>
        <v>22889</v>
      </c>
    </row>
    <row r="7" spans="1:18" s="79" customFormat="1" ht="14.25" customHeight="1" x14ac:dyDescent="0.25">
      <c r="A7" s="81" t="s">
        <v>31</v>
      </c>
      <c r="B7" s="82" t="s">
        <v>34</v>
      </c>
      <c r="C7" s="82"/>
      <c r="D7" s="83" t="s">
        <v>22</v>
      </c>
      <c r="E7" s="83">
        <v>4</v>
      </c>
      <c r="F7" s="84" t="s">
        <v>82</v>
      </c>
      <c r="G7" s="84" t="s">
        <v>83</v>
      </c>
      <c r="H7" s="85">
        <v>24617.9</v>
      </c>
      <c r="I7" s="85">
        <v>23387</v>
      </c>
      <c r="J7" s="86">
        <v>0</v>
      </c>
      <c r="K7" s="86">
        <v>1230.9000000000001</v>
      </c>
      <c r="L7" s="86">
        <v>0</v>
      </c>
      <c r="M7" s="87">
        <v>0</v>
      </c>
      <c r="O7" s="83" t="s">
        <v>22</v>
      </c>
      <c r="P7" s="80">
        <f t="shared" si="0"/>
        <v>23387</v>
      </c>
    </row>
    <row r="8" spans="1:18" s="79" customFormat="1" ht="14.25" customHeight="1" x14ac:dyDescent="0.25">
      <c r="A8" s="81" t="s">
        <v>84</v>
      </c>
      <c r="B8" s="82" t="s">
        <v>85</v>
      </c>
      <c r="C8" s="82"/>
      <c r="D8" s="83" t="s">
        <v>22</v>
      </c>
      <c r="E8" s="83">
        <v>4</v>
      </c>
      <c r="F8" s="84" t="s">
        <v>82</v>
      </c>
      <c r="G8" s="84" t="s">
        <v>83</v>
      </c>
      <c r="H8" s="85">
        <v>2618.95684210526</v>
      </c>
      <c r="I8" s="85">
        <v>2488</v>
      </c>
      <c r="J8" s="86">
        <v>0</v>
      </c>
      <c r="K8" s="86">
        <v>65.48</v>
      </c>
      <c r="L8" s="86">
        <v>65.48</v>
      </c>
      <c r="M8" s="87">
        <v>0</v>
      </c>
      <c r="O8" s="83" t="s">
        <v>22</v>
      </c>
      <c r="P8" s="80">
        <f t="shared" si="0"/>
        <v>2488</v>
      </c>
    </row>
    <row r="9" spans="1:18" s="79" customFormat="1" ht="14.25" x14ac:dyDescent="0.25">
      <c r="A9" s="81" t="s">
        <v>86</v>
      </c>
      <c r="B9" s="82" t="s">
        <v>87</v>
      </c>
      <c r="C9" s="82"/>
      <c r="D9" s="83" t="s">
        <v>24</v>
      </c>
      <c r="E9" s="88" t="s">
        <v>88</v>
      </c>
      <c r="F9" s="84" t="s">
        <v>89</v>
      </c>
      <c r="G9" s="84" t="s">
        <v>90</v>
      </c>
      <c r="H9" s="85">
        <v>988.34</v>
      </c>
      <c r="I9" s="85">
        <v>593</v>
      </c>
      <c r="J9" s="86">
        <v>197.67</v>
      </c>
      <c r="K9" s="86">
        <v>0</v>
      </c>
      <c r="L9" s="86">
        <v>197.66800000000001</v>
      </c>
      <c r="M9" s="87">
        <v>0</v>
      </c>
      <c r="O9" s="83" t="s">
        <v>24</v>
      </c>
      <c r="P9" s="80">
        <f t="shared" si="0"/>
        <v>790.67</v>
      </c>
    </row>
    <row r="10" spans="1:18" s="79" customFormat="1" ht="14.25" customHeight="1" x14ac:dyDescent="0.25">
      <c r="A10" s="4" t="s">
        <v>35</v>
      </c>
      <c r="B10" s="82" t="s">
        <v>36</v>
      </c>
      <c r="C10" s="82"/>
      <c r="D10" s="83" t="s">
        <v>24</v>
      </c>
      <c r="E10" s="88" t="s">
        <v>88</v>
      </c>
      <c r="F10" s="84" t="s">
        <v>89</v>
      </c>
      <c r="G10" s="84" t="s">
        <v>91</v>
      </c>
      <c r="H10" s="85">
        <v>21546.66</v>
      </c>
      <c r="I10" s="85">
        <v>8080</v>
      </c>
      <c r="J10" s="86">
        <v>2693.33</v>
      </c>
      <c r="K10" s="86">
        <v>0</v>
      </c>
      <c r="L10" s="86">
        <v>10773.33</v>
      </c>
      <c r="M10" s="87">
        <v>0</v>
      </c>
      <c r="O10" s="83" t="s">
        <v>24</v>
      </c>
      <c r="P10" s="80">
        <f t="shared" si="0"/>
        <v>10773.33</v>
      </c>
    </row>
    <row r="11" spans="1:18" s="79" customFormat="1" ht="14.25" x14ac:dyDescent="0.25">
      <c r="A11" s="4"/>
      <c r="B11" s="89" t="s">
        <v>39</v>
      </c>
      <c r="C11" s="89"/>
      <c r="D11" s="83" t="s">
        <v>24</v>
      </c>
      <c r="E11" s="88" t="s">
        <v>88</v>
      </c>
      <c r="F11" s="84" t="s">
        <v>89</v>
      </c>
      <c r="G11" s="84" t="s">
        <v>91</v>
      </c>
      <c r="H11" s="85">
        <v>1322.68</v>
      </c>
      <c r="I11" s="85">
        <v>496</v>
      </c>
      <c r="J11" s="86">
        <v>165.34</v>
      </c>
      <c r="K11" s="86">
        <v>0</v>
      </c>
      <c r="L11" s="86">
        <v>661.34</v>
      </c>
      <c r="M11" s="87">
        <v>0</v>
      </c>
      <c r="O11" s="83" t="s">
        <v>24</v>
      </c>
      <c r="P11" s="80">
        <f t="shared" si="0"/>
        <v>661.34</v>
      </c>
    </row>
    <row r="12" spans="1:18" s="79" customFormat="1" ht="14.25" x14ac:dyDescent="0.25">
      <c r="A12" s="4"/>
      <c r="B12" s="89" t="s">
        <v>92</v>
      </c>
      <c r="C12" s="89"/>
      <c r="D12" s="83" t="s">
        <v>24</v>
      </c>
      <c r="E12" s="88" t="s">
        <v>88</v>
      </c>
      <c r="F12" s="84" t="s">
        <v>89</v>
      </c>
      <c r="G12" s="90" t="s">
        <v>91</v>
      </c>
      <c r="H12" s="85">
        <v>11419.25</v>
      </c>
      <c r="I12" s="85">
        <v>3854</v>
      </c>
      <c r="J12" s="86">
        <v>1284.67</v>
      </c>
      <c r="K12" s="86">
        <v>0</v>
      </c>
      <c r="L12" s="86">
        <v>6280.58</v>
      </c>
      <c r="M12" s="87">
        <v>0</v>
      </c>
      <c r="O12" s="83" t="s">
        <v>24</v>
      </c>
      <c r="P12" s="80">
        <f t="shared" si="0"/>
        <v>5138.67</v>
      </c>
    </row>
    <row r="13" spans="1:18" s="79" customFormat="1" ht="14.25" customHeight="1" x14ac:dyDescent="0.25">
      <c r="A13" s="4" t="s">
        <v>40</v>
      </c>
      <c r="B13" s="89" t="s">
        <v>41</v>
      </c>
      <c r="C13" s="89"/>
      <c r="D13" s="83" t="s">
        <v>37</v>
      </c>
      <c r="E13" s="83">
        <v>2</v>
      </c>
      <c r="F13" s="84" t="s">
        <v>93</v>
      </c>
      <c r="G13" s="84" t="s">
        <v>94</v>
      </c>
      <c r="H13" s="91">
        <v>37408</v>
      </c>
      <c r="I13" s="91">
        <v>31796.799999999999</v>
      </c>
      <c r="J13" s="92">
        <v>2880.4</v>
      </c>
      <c r="K13" s="92">
        <v>915.2</v>
      </c>
      <c r="L13" s="92">
        <v>1815.6</v>
      </c>
      <c r="M13" s="87">
        <v>0</v>
      </c>
      <c r="N13" s="93"/>
      <c r="O13" s="83" t="s">
        <v>37</v>
      </c>
      <c r="P13" s="80">
        <f t="shared" si="0"/>
        <v>34677.199999999997</v>
      </c>
    </row>
    <row r="14" spans="1:18" s="79" customFormat="1" ht="14.25" x14ac:dyDescent="0.25">
      <c r="A14" s="4"/>
      <c r="B14" s="94" t="s">
        <v>42</v>
      </c>
      <c r="C14" s="94"/>
      <c r="D14" s="74" t="s">
        <v>22</v>
      </c>
      <c r="E14" s="74">
        <v>4</v>
      </c>
      <c r="F14" s="75" t="s">
        <v>82</v>
      </c>
      <c r="G14" s="75" t="s">
        <v>83</v>
      </c>
      <c r="H14" s="76">
        <v>1047.58</v>
      </c>
      <c r="I14" s="76">
        <v>995.20100000000002</v>
      </c>
      <c r="J14" s="77">
        <v>0</v>
      </c>
      <c r="K14" s="77">
        <v>0</v>
      </c>
      <c r="L14" s="77">
        <v>52.378999999999998</v>
      </c>
      <c r="M14" s="78">
        <v>0</v>
      </c>
      <c r="O14" s="74" t="s">
        <v>22</v>
      </c>
      <c r="P14" s="80">
        <f t="shared" si="0"/>
        <v>995.20100000000002</v>
      </c>
      <c r="R14" s="79" t="s">
        <v>95</v>
      </c>
    </row>
    <row r="15" spans="1:18" s="79" customFormat="1" ht="14.25" x14ac:dyDescent="0.25">
      <c r="A15" s="4"/>
      <c r="B15" s="89" t="s">
        <v>96</v>
      </c>
      <c r="C15" s="89"/>
      <c r="D15" s="83" t="s">
        <v>37</v>
      </c>
      <c r="E15" s="83">
        <v>2</v>
      </c>
      <c r="F15" s="84" t="s">
        <v>93</v>
      </c>
      <c r="G15" s="84" t="s">
        <v>94</v>
      </c>
      <c r="H15" s="91">
        <v>10010</v>
      </c>
      <c r="I15" s="91">
        <v>8508.5</v>
      </c>
      <c r="J15" s="92">
        <v>1220.96</v>
      </c>
      <c r="K15" s="86">
        <v>130.54</v>
      </c>
      <c r="L15" s="86">
        <v>150</v>
      </c>
      <c r="M15" s="87">
        <v>0</v>
      </c>
      <c r="O15" s="83" t="s">
        <v>37</v>
      </c>
      <c r="P15" s="80">
        <f t="shared" si="0"/>
        <v>9729.4599999999991</v>
      </c>
    </row>
    <row r="16" spans="1:18" s="100" customFormat="1" ht="14.25" hidden="1" x14ac:dyDescent="0.25">
      <c r="A16" s="4"/>
      <c r="B16" s="95" t="s">
        <v>97</v>
      </c>
      <c r="C16" s="95"/>
      <c r="D16" s="96" t="s">
        <v>37</v>
      </c>
      <c r="E16" s="96">
        <v>2</v>
      </c>
      <c r="F16" s="97" t="s">
        <v>93</v>
      </c>
      <c r="G16" s="97" t="s">
        <v>94</v>
      </c>
      <c r="H16" s="98">
        <v>0</v>
      </c>
      <c r="I16" s="98">
        <v>0</v>
      </c>
      <c r="J16" s="99">
        <v>0</v>
      </c>
      <c r="K16" s="99">
        <v>0</v>
      </c>
      <c r="L16" s="99">
        <v>0</v>
      </c>
      <c r="M16" s="98">
        <v>0</v>
      </c>
      <c r="O16" s="96" t="s">
        <v>37</v>
      </c>
      <c r="P16" s="101">
        <f t="shared" si="0"/>
        <v>0</v>
      </c>
    </row>
    <row r="17" spans="1:16" ht="28.5" x14ac:dyDescent="0.25">
      <c r="A17" s="102" t="s">
        <v>43</v>
      </c>
      <c r="B17" s="103" t="s">
        <v>44</v>
      </c>
      <c r="C17" s="33"/>
      <c r="D17" s="25" t="s">
        <v>98</v>
      </c>
      <c r="E17" s="25">
        <v>4</v>
      </c>
      <c r="F17" s="26"/>
      <c r="G17" s="26" t="s">
        <v>99</v>
      </c>
      <c r="H17" s="104">
        <v>5402.3470588235296</v>
      </c>
      <c r="I17" s="104">
        <v>4592</v>
      </c>
      <c r="J17" s="105">
        <v>0</v>
      </c>
      <c r="K17" s="105">
        <v>810.34705882353001</v>
      </c>
      <c r="L17" s="105">
        <v>0</v>
      </c>
      <c r="M17" s="104">
        <v>0</v>
      </c>
      <c r="O17" s="25" t="s">
        <v>98</v>
      </c>
      <c r="P17" s="53">
        <f t="shared" si="0"/>
        <v>4592</v>
      </c>
    </row>
    <row r="18" spans="1:16" ht="14.25" customHeight="1" x14ac:dyDescent="0.25">
      <c r="A18" s="9" t="s">
        <v>26</v>
      </c>
      <c r="B18" s="9"/>
      <c r="C18" s="9"/>
      <c r="D18" s="9"/>
      <c r="E18" s="9"/>
      <c r="F18" s="35"/>
      <c r="G18" s="30"/>
      <c r="H18" s="30"/>
      <c r="I18" s="30"/>
      <c r="J18" s="30"/>
      <c r="K18" s="30"/>
      <c r="L18" s="30"/>
      <c r="M18" s="30"/>
    </row>
    <row r="20" spans="1:16" x14ac:dyDescent="0.25">
      <c r="A20" s="3" t="s">
        <v>100</v>
      </c>
      <c r="B20" s="3"/>
      <c r="C20" s="3"/>
      <c r="D20" s="3"/>
      <c r="E20" s="3"/>
      <c r="F20" s="3"/>
      <c r="H20" s="106"/>
    </row>
    <row r="21" spans="1:16" ht="42.75" x14ac:dyDescent="0.25">
      <c r="A21" s="17" t="s">
        <v>56</v>
      </c>
      <c r="B21" s="17" t="s">
        <v>9</v>
      </c>
      <c r="C21" s="70" t="s">
        <v>101</v>
      </c>
      <c r="D21" s="70" t="s">
        <v>102</v>
      </c>
      <c r="E21" s="70" t="s">
        <v>103</v>
      </c>
      <c r="G21" s="107" t="s">
        <v>81</v>
      </c>
    </row>
    <row r="22" spans="1:16" ht="14.25" customHeight="1" x14ac:dyDescent="0.25">
      <c r="A22" s="14" t="s">
        <v>61</v>
      </c>
      <c r="B22" s="24" t="s">
        <v>22</v>
      </c>
      <c r="C22" s="108">
        <v>49759.199999999997</v>
      </c>
      <c r="D22" s="108">
        <v>0</v>
      </c>
      <c r="E22" s="108">
        <f>C22+D22</f>
        <v>49759.199999999997</v>
      </c>
      <c r="G22" s="109">
        <f>SUM(I6,I7,I8,I14,J6,J7,J8,J14)</f>
        <v>49759.201000000001</v>
      </c>
    </row>
    <row r="23" spans="1:16" x14ac:dyDescent="0.25">
      <c r="A23" s="14"/>
      <c r="B23" s="24" t="s">
        <v>25</v>
      </c>
      <c r="C23" s="108">
        <v>4592</v>
      </c>
      <c r="D23" s="108">
        <v>0</v>
      </c>
      <c r="E23" s="108">
        <f>C23+D23</f>
        <v>4592</v>
      </c>
      <c r="G23" s="109">
        <f>SUM(I17,J17)</f>
        <v>4592</v>
      </c>
    </row>
    <row r="24" spans="1:16" x14ac:dyDescent="0.25">
      <c r="A24" s="14"/>
      <c r="B24" s="30" t="s">
        <v>63</v>
      </c>
      <c r="C24" s="110">
        <v>54351.199999999997</v>
      </c>
      <c r="D24" s="110">
        <v>0</v>
      </c>
      <c r="E24" s="110">
        <v>54351.199999999997</v>
      </c>
      <c r="G24" s="100"/>
    </row>
    <row r="25" spans="1:16" ht="14.25" customHeight="1" x14ac:dyDescent="0.25">
      <c r="A25" s="14" t="s">
        <v>65</v>
      </c>
      <c r="B25" s="24" t="s">
        <v>23</v>
      </c>
      <c r="C25" s="111">
        <f>I13+I15</f>
        <v>40305.300000000003</v>
      </c>
      <c r="D25" s="111">
        <f>J13+J15</f>
        <v>4101.3600000000006</v>
      </c>
      <c r="E25" s="111">
        <f>C25+D25</f>
        <v>44406.66</v>
      </c>
      <c r="G25" s="109">
        <f>SUM(I13,I15,I16,J13,J15,J16)</f>
        <v>44406.66</v>
      </c>
    </row>
    <row r="26" spans="1:16" x14ac:dyDescent="0.25">
      <c r="A26" s="14"/>
      <c r="B26" s="30" t="s">
        <v>67</v>
      </c>
      <c r="C26" s="110">
        <f>C25</f>
        <v>40305.300000000003</v>
      </c>
      <c r="D26" s="110">
        <f>D25</f>
        <v>4101.3600000000006</v>
      </c>
      <c r="E26" s="110">
        <f>E25</f>
        <v>44406.66</v>
      </c>
      <c r="G26" s="100"/>
    </row>
    <row r="27" spans="1:16" ht="14.25" customHeight="1" x14ac:dyDescent="0.25">
      <c r="A27" s="14" t="s">
        <v>68</v>
      </c>
      <c r="B27" s="52" t="s">
        <v>24</v>
      </c>
      <c r="C27" s="108">
        <v>13023</v>
      </c>
      <c r="D27" s="108">
        <v>4341.01</v>
      </c>
      <c r="E27" s="108">
        <v>17364.009999999998</v>
      </c>
      <c r="G27" s="109">
        <f>SUM(I9,I10,I11,I12,J9,J10,J11,J12)</f>
        <v>17364.010000000002</v>
      </c>
    </row>
    <row r="28" spans="1:16" x14ac:dyDescent="0.25">
      <c r="A28" s="14"/>
      <c r="B28" s="30" t="s">
        <v>69</v>
      </c>
      <c r="C28" s="110">
        <v>13023</v>
      </c>
      <c r="D28" s="110">
        <v>4341.01</v>
      </c>
      <c r="E28" s="110">
        <v>17364.009999999998</v>
      </c>
      <c r="G28" s="100"/>
    </row>
    <row r="29" spans="1:16" x14ac:dyDescent="0.25">
      <c r="A29" s="17" t="s">
        <v>70</v>
      </c>
      <c r="B29" s="30" t="s">
        <v>26</v>
      </c>
      <c r="C29" s="112">
        <f>C24+C26+C28</f>
        <v>107679.5</v>
      </c>
      <c r="D29" s="112">
        <f>D24+D26+D28</f>
        <v>8442.3700000000008</v>
      </c>
      <c r="E29" s="112">
        <f>C29+D29</f>
        <v>116121.87</v>
      </c>
      <c r="G29" s="109">
        <f>SUM(G22:G28)</f>
        <v>116121.87100000001</v>
      </c>
    </row>
    <row r="31" spans="1:16" x14ac:dyDescent="0.25">
      <c r="A31" s="2" t="s">
        <v>104</v>
      </c>
      <c r="B31" s="2"/>
      <c r="C31" s="2"/>
      <c r="D31" s="2"/>
      <c r="E31" s="2"/>
      <c r="F31" s="2"/>
      <c r="G31" s="2"/>
      <c r="H31" s="2"/>
      <c r="I31" s="2"/>
      <c r="J31" s="2"/>
    </row>
    <row r="32" spans="1:16" ht="15" customHeight="1" x14ac:dyDescent="0.25">
      <c r="A32" s="1" t="s">
        <v>105</v>
      </c>
      <c r="B32" s="1" t="s">
        <v>106</v>
      </c>
      <c r="C32" s="1" t="s">
        <v>11</v>
      </c>
      <c r="D32" s="1" t="s">
        <v>107</v>
      </c>
      <c r="E32" s="141" t="s">
        <v>108</v>
      </c>
      <c r="F32" s="141"/>
      <c r="G32" s="141"/>
      <c r="H32" s="141"/>
      <c r="I32" s="141"/>
      <c r="J32" s="142" t="s">
        <v>7</v>
      </c>
    </row>
    <row r="33" spans="1:10" ht="14.25" customHeight="1" x14ac:dyDescent="0.25">
      <c r="A33" s="1"/>
      <c r="B33" s="1"/>
      <c r="C33" s="1"/>
      <c r="D33" s="1"/>
      <c r="E33" s="143" t="s">
        <v>13</v>
      </c>
      <c r="F33" s="144" t="s">
        <v>109</v>
      </c>
      <c r="G33" s="144"/>
      <c r="H33" s="144" t="s">
        <v>15</v>
      </c>
      <c r="I33" s="144"/>
      <c r="J33" s="142"/>
    </row>
    <row r="34" spans="1:10" x14ac:dyDescent="0.25">
      <c r="A34" s="1"/>
      <c r="B34" s="1"/>
      <c r="C34" s="1"/>
      <c r="D34" s="1"/>
      <c r="E34" s="143"/>
      <c r="F34" s="144"/>
      <c r="G34" s="144"/>
      <c r="H34" s="144"/>
      <c r="I34" s="144"/>
      <c r="J34" s="142"/>
    </row>
    <row r="35" spans="1:10" ht="63.75" x14ac:dyDescent="0.25">
      <c r="A35" s="1"/>
      <c r="B35" s="1"/>
      <c r="C35" s="1"/>
      <c r="D35" s="1"/>
      <c r="E35" s="143"/>
      <c r="F35" s="113" t="s">
        <v>110</v>
      </c>
      <c r="G35" s="114" t="s">
        <v>111</v>
      </c>
      <c r="H35" s="113" t="s">
        <v>112</v>
      </c>
      <c r="I35" s="113" t="s">
        <v>80</v>
      </c>
      <c r="J35" s="142"/>
    </row>
    <row r="36" spans="1:10" x14ac:dyDescent="0.25">
      <c r="A36" s="115" t="s">
        <v>23</v>
      </c>
      <c r="B36" s="116">
        <v>2</v>
      </c>
      <c r="C36" s="117" t="s">
        <v>93</v>
      </c>
      <c r="D36" s="117" t="s">
        <v>94</v>
      </c>
      <c r="E36" s="118">
        <f t="shared" ref="E36:J36" si="1">SUM(H13,H15,H16)</f>
        <v>47418</v>
      </c>
      <c r="F36" s="118">
        <f t="shared" si="1"/>
        <v>40305.300000000003</v>
      </c>
      <c r="G36" s="118">
        <f t="shared" si="1"/>
        <v>4101.3600000000006</v>
      </c>
      <c r="H36" s="118">
        <f t="shared" si="1"/>
        <v>1045.74</v>
      </c>
      <c r="I36" s="118">
        <f t="shared" si="1"/>
        <v>1965.6</v>
      </c>
      <c r="J36" s="119">
        <f t="shared" si="1"/>
        <v>0</v>
      </c>
    </row>
    <row r="37" spans="1:10" ht="14.25" customHeight="1" x14ac:dyDescent="0.25">
      <c r="A37" s="145" t="s">
        <v>24</v>
      </c>
      <c r="B37" s="120" t="s">
        <v>88</v>
      </c>
      <c r="C37" s="120" t="s">
        <v>89</v>
      </c>
      <c r="D37" s="120" t="s">
        <v>91</v>
      </c>
      <c r="E37" s="119">
        <f t="shared" ref="E37:J37" si="2">SUM(H10,H11,H12)</f>
        <v>34288.589999999997</v>
      </c>
      <c r="F37" s="119">
        <f t="shared" si="2"/>
        <v>12430</v>
      </c>
      <c r="G37" s="119">
        <f t="shared" si="2"/>
        <v>4143.34</v>
      </c>
      <c r="H37" s="119">
        <f t="shared" si="2"/>
        <v>0</v>
      </c>
      <c r="I37" s="119">
        <f t="shared" si="2"/>
        <v>17715.25</v>
      </c>
      <c r="J37" s="119">
        <f t="shared" si="2"/>
        <v>0</v>
      </c>
    </row>
    <row r="38" spans="1:10" ht="15.75" customHeight="1" x14ac:dyDescent="0.25">
      <c r="A38" s="145"/>
      <c r="B38" s="120" t="s">
        <v>88</v>
      </c>
      <c r="C38" s="120" t="s">
        <v>89</v>
      </c>
      <c r="D38" s="120" t="s">
        <v>90</v>
      </c>
      <c r="E38" s="119">
        <f t="shared" ref="E38:J38" si="3">SUM(H9)</f>
        <v>988.34</v>
      </c>
      <c r="F38" s="119">
        <f t="shared" si="3"/>
        <v>593</v>
      </c>
      <c r="G38" s="119">
        <f t="shared" si="3"/>
        <v>197.67</v>
      </c>
      <c r="H38" s="119">
        <f t="shared" si="3"/>
        <v>0</v>
      </c>
      <c r="I38" s="119">
        <f t="shared" si="3"/>
        <v>197.66800000000001</v>
      </c>
      <c r="J38" s="119">
        <f t="shared" si="3"/>
        <v>0</v>
      </c>
    </row>
    <row r="39" spans="1:10" x14ac:dyDescent="0.25">
      <c r="A39" s="115" t="s">
        <v>22</v>
      </c>
      <c r="B39" s="121">
        <v>4</v>
      </c>
      <c r="C39" s="121" t="s">
        <v>82</v>
      </c>
      <c r="D39" s="122" t="s">
        <v>83</v>
      </c>
      <c r="E39" s="119">
        <f t="shared" ref="E39:J39" si="4">SUM(H6,H7,H8,H14)</f>
        <v>52378.136842105268</v>
      </c>
      <c r="F39" s="119">
        <f t="shared" si="4"/>
        <v>49759.201000000001</v>
      </c>
      <c r="G39" s="119">
        <f t="shared" si="4"/>
        <v>0</v>
      </c>
      <c r="H39" s="119">
        <f t="shared" si="4"/>
        <v>2501.0800000000004</v>
      </c>
      <c r="I39" s="119">
        <f t="shared" si="4"/>
        <v>117.85900000000001</v>
      </c>
      <c r="J39" s="119">
        <f t="shared" si="4"/>
        <v>0</v>
      </c>
    </row>
    <row r="40" spans="1:10" x14ac:dyDescent="0.25">
      <c r="A40" s="123" t="s">
        <v>25</v>
      </c>
      <c r="B40" s="52">
        <v>4</v>
      </c>
      <c r="C40" s="52"/>
      <c r="D40" s="124" t="s">
        <v>99</v>
      </c>
      <c r="E40" s="119">
        <f t="shared" ref="E40:J40" si="5">SUM(H17)</f>
        <v>5402.3470588235296</v>
      </c>
      <c r="F40" s="119">
        <f t="shared" si="5"/>
        <v>4592</v>
      </c>
      <c r="G40" s="119">
        <f t="shared" si="5"/>
        <v>0</v>
      </c>
      <c r="H40" s="119">
        <f t="shared" si="5"/>
        <v>810.34705882353001</v>
      </c>
      <c r="I40" s="119">
        <f t="shared" si="5"/>
        <v>0</v>
      </c>
      <c r="J40" s="119">
        <f t="shared" si="5"/>
        <v>0</v>
      </c>
    </row>
  </sheetData>
  <mergeCells count="32"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  <mergeCell ref="A10:A12"/>
    <mergeCell ref="A13:A16"/>
    <mergeCell ref="A18:E18"/>
    <mergeCell ref="A20:F20"/>
    <mergeCell ref="A22:A24"/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0"/>
  <sheetViews>
    <sheetView zoomScaleNormal="100" workbookViewId="0">
      <selection activeCell="H28" sqref="H28"/>
    </sheetView>
  </sheetViews>
  <sheetFormatPr defaultRowHeight="15" x14ac:dyDescent="0.25"/>
  <cols>
    <col min="1" max="1" width="20.140625" style="15" customWidth="1"/>
    <col min="2" max="2" width="12.7109375" style="15" customWidth="1"/>
    <col min="3" max="4" width="12.140625" style="15" customWidth="1"/>
    <col min="5" max="5" width="15" style="15" customWidth="1"/>
    <col min="6" max="6" width="12.140625" style="15" customWidth="1"/>
    <col min="7" max="7" width="10.7109375" style="15" customWidth="1"/>
    <col min="8" max="10" width="11.42578125" style="15"/>
    <col min="11" max="11" width="13.5703125" style="15" customWidth="1"/>
    <col min="12" max="12" width="9.85546875" style="15" customWidth="1"/>
    <col min="13" max="14" width="9.140625" style="15" customWidth="1"/>
    <col min="15" max="15" width="9.85546875" style="15" customWidth="1"/>
    <col min="16" max="1025" width="9.140625" style="15" customWidth="1"/>
  </cols>
  <sheetData>
    <row r="1" spans="1:15" x14ac:dyDescent="0.25">
      <c r="A1" s="7" t="s">
        <v>113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ht="14.2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6" t="s">
        <v>6</v>
      </c>
      <c r="I2" s="6"/>
      <c r="J2" s="6"/>
      <c r="K2" s="6"/>
      <c r="L2" s="6"/>
      <c r="M2" s="14" t="s">
        <v>7</v>
      </c>
    </row>
    <row r="3" spans="1:15" ht="14.25" customHeight="1" x14ac:dyDescent="0.25">
      <c r="A3" s="14"/>
      <c r="B3" s="14"/>
      <c r="C3" s="14"/>
      <c r="D3" s="14"/>
      <c r="E3" s="14"/>
      <c r="F3" s="14"/>
      <c r="G3" s="14"/>
      <c r="H3" s="6"/>
      <c r="I3" s="6"/>
      <c r="J3" s="6"/>
      <c r="K3" s="6"/>
      <c r="L3" s="6"/>
      <c r="M3" s="14"/>
    </row>
    <row r="4" spans="1:15" ht="14.2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5" t="s">
        <v>114</v>
      </c>
      <c r="I4" s="5" t="s">
        <v>14</v>
      </c>
      <c r="J4" s="5"/>
      <c r="K4" s="5" t="s">
        <v>15</v>
      </c>
      <c r="L4" s="5"/>
      <c r="M4" s="14"/>
    </row>
    <row r="5" spans="1:15" ht="55.5" customHeight="1" x14ac:dyDescent="0.25">
      <c r="A5" s="14"/>
      <c r="B5" s="14"/>
      <c r="C5" s="14"/>
      <c r="D5" s="12"/>
      <c r="E5" s="12"/>
      <c r="F5" s="12"/>
      <c r="G5" s="12"/>
      <c r="H5" s="5"/>
      <c r="I5" s="71" t="s">
        <v>77</v>
      </c>
      <c r="J5" s="71" t="s">
        <v>78</v>
      </c>
      <c r="K5" s="71" t="s">
        <v>79</v>
      </c>
      <c r="L5" s="71" t="s">
        <v>80</v>
      </c>
      <c r="M5" s="14"/>
    </row>
    <row r="6" spans="1:15" x14ac:dyDescent="0.25">
      <c r="A6" s="23" t="s">
        <v>27</v>
      </c>
      <c r="B6" s="24" t="s">
        <v>28</v>
      </c>
      <c r="C6" s="24"/>
      <c r="D6" s="25" t="s">
        <v>22</v>
      </c>
      <c r="E6" s="74">
        <v>4</v>
      </c>
      <c r="F6" s="75" t="s">
        <v>82</v>
      </c>
      <c r="G6" s="26" t="s">
        <v>83</v>
      </c>
      <c r="H6" s="104">
        <f>I6/0.95</f>
        <v>0</v>
      </c>
      <c r="I6" s="104">
        <v>0</v>
      </c>
      <c r="J6" s="105">
        <v>0</v>
      </c>
      <c r="K6" s="105">
        <f>H6*0.05</f>
        <v>0</v>
      </c>
      <c r="L6" s="105">
        <v>0</v>
      </c>
      <c r="M6" s="104">
        <v>0</v>
      </c>
      <c r="O6" s="53"/>
    </row>
    <row r="7" spans="1:15" ht="14.25" customHeight="1" x14ac:dyDescent="0.25">
      <c r="A7" s="23" t="s">
        <v>31</v>
      </c>
      <c r="B7" s="24" t="s">
        <v>34</v>
      </c>
      <c r="C7" s="24"/>
      <c r="D7" s="25" t="s">
        <v>22</v>
      </c>
      <c r="E7" s="125">
        <v>4</v>
      </c>
      <c r="F7" s="84" t="s">
        <v>82</v>
      </c>
      <c r="G7" s="26" t="s">
        <v>83</v>
      </c>
      <c r="H7" s="104">
        <f>I7/0.95</f>
        <v>0</v>
      </c>
      <c r="I7" s="104">
        <v>0</v>
      </c>
      <c r="J7" s="105">
        <v>0</v>
      </c>
      <c r="K7" s="105">
        <f>H7*0.05</f>
        <v>0</v>
      </c>
      <c r="L7" s="105">
        <v>0</v>
      </c>
      <c r="M7" s="104">
        <v>0</v>
      </c>
      <c r="O7" s="53"/>
    </row>
    <row r="8" spans="1:15" ht="14.25" customHeight="1" x14ac:dyDescent="0.25">
      <c r="A8" s="23" t="s">
        <v>84</v>
      </c>
      <c r="B8" s="24" t="s">
        <v>85</v>
      </c>
      <c r="C8" s="24"/>
      <c r="D8" s="25" t="s">
        <v>22</v>
      </c>
      <c r="E8" s="125">
        <v>4</v>
      </c>
      <c r="F8" s="84" t="s">
        <v>82</v>
      </c>
      <c r="G8" s="26" t="s">
        <v>83</v>
      </c>
      <c r="H8" s="104">
        <f>I8/0.95</f>
        <v>0</v>
      </c>
      <c r="I8" s="104">
        <v>0</v>
      </c>
      <c r="J8" s="105">
        <v>0</v>
      </c>
      <c r="K8" s="105">
        <f>H8*0.025</f>
        <v>0</v>
      </c>
      <c r="L8" s="105">
        <f>H8*0.025</f>
        <v>0</v>
      </c>
      <c r="M8" s="104">
        <v>0</v>
      </c>
      <c r="O8" s="53"/>
    </row>
    <row r="9" spans="1:15" x14ac:dyDescent="0.25">
      <c r="A9" s="23" t="s">
        <v>86</v>
      </c>
      <c r="B9" s="24" t="s">
        <v>87</v>
      </c>
      <c r="C9" s="24"/>
      <c r="D9" s="25" t="s">
        <v>24</v>
      </c>
      <c r="E9" s="90" t="s">
        <v>88</v>
      </c>
      <c r="F9" s="84" t="s">
        <v>89</v>
      </c>
      <c r="G9" s="26" t="s">
        <v>90</v>
      </c>
      <c r="H9" s="104">
        <v>0</v>
      </c>
      <c r="I9" s="104">
        <v>0</v>
      </c>
      <c r="J9" s="105">
        <f>H9*0.8*0.25</f>
        <v>0</v>
      </c>
      <c r="K9" s="105">
        <v>0</v>
      </c>
      <c r="L9" s="105">
        <f>H9*0.2</f>
        <v>0</v>
      </c>
      <c r="M9" s="104">
        <v>0</v>
      </c>
      <c r="O9" s="53"/>
    </row>
    <row r="10" spans="1:15" ht="14.25" customHeight="1" x14ac:dyDescent="0.25">
      <c r="A10" s="10" t="s">
        <v>35</v>
      </c>
      <c r="B10" s="24" t="s">
        <v>36</v>
      </c>
      <c r="C10" s="24"/>
      <c r="D10" s="25" t="s">
        <v>24</v>
      </c>
      <c r="E10" s="90" t="s">
        <v>88</v>
      </c>
      <c r="F10" s="84" t="s">
        <v>89</v>
      </c>
      <c r="G10" s="26" t="s">
        <v>91</v>
      </c>
      <c r="H10" s="104">
        <v>0</v>
      </c>
      <c r="I10" s="104">
        <v>0</v>
      </c>
      <c r="J10" s="105">
        <f>H10*0.5*0.25</f>
        <v>0</v>
      </c>
      <c r="K10" s="105">
        <v>0</v>
      </c>
      <c r="L10" s="105">
        <f>H10*0.5</f>
        <v>0</v>
      </c>
      <c r="M10" s="104">
        <v>0</v>
      </c>
      <c r="O10" s="53"/>
    </row>
    <row r="11" spans="1:15" x14ac:dyDescent="0.25">
      <c r="A11" s="10"/>
      <c r="B11" s="33" t="s">
        <v>39</v>
      </c>
      <c r="C11" s="33"/>
      <c r="D11" s="25" t="s">
        <v>24</v>
      </c>
      <c r="E11" s="90" t="s">
        <v>88</v>
      </c>
      <c r="F11" s="84" t="s">
        <v>89</v>
      </c>
      <c r="G11" s="26" t="s">
        <v>91</v>
      </c>
      <c r="H11" s="104">
        <v>0</v>
      </c>
      <c r="I11" s="104">
        <v>0</v>
      </c>
      <c r="J11" s="105">
        <f>H11*0.5*0.25</f>
        <v>0</v>
      </c>
      <c r="K11" s="105">
        <v>0</v>
      </c>
      <c r="L11" s="105">
        <f>H11*0.5</f>
        <v>0</v>
      </c>
      <c r="M11" s="104">
        <v>0</v>
      </c>
      <c r="O11" s="53"/>
    </row>
    <row r="12" spans="1:15" x14ac:dyDescent="0.25">
      <c r="A12" s="10"/>
      <c r="B12" s="33" t="s">
        <v>92</v>
      </c>
      <c r="C12" s="33"/>
      <c r="D12" s="25" t="s">
        <v>24</v>
      </c>
      <c r="E12" s="90" t="s">
        <v>88</v>
      </c>
      <c r="F12" s="84" t="s">
        <v>89</v>
      </c>
      <c r="G12" s="26" t="s">
        <v>91</v>
      </c>
      <c r="H12" s="87">
        <v>0</v>
      </c>
      <c r="I12" s="104">
        <v>0</v>
      </c>
      <c r="J12" s="105">
        <f>H12*0.45*0.25</f>
        <v>0</v>
      </c>
      <c r="K12" s="105">
        <v>0</v>
      </c>
      <c r="L12" s="105">
        <f>H12*0.55</f>
        <v>0</v>
      </c>
      <c r="M12" s="104">
        <v>0</v>
      </c>
      <c r="O12" s="53"/>
    </row>
    <row r="13" spans="1:15" ht="14.25" customHeight="1" x14ac:dyDescent="0.25">
      <c r="A13" s="10" t="s">
        <v>40</v>
      </c>
      <c r="B13" s="33" t="s">
        <v>41</v>
      </c>
      <c r="C13" s="33"/>
      <c r="D13" s="25" t="s">
        <v>37</v>
      </c>
      <c r="E13" s="125">
        <v>2</v>
      </c>
      <c r="F13" s="84" t="s">
        <v>93</v>
      </c>
      <c r="G13" s="26" t="s">
        <v>94</v>
      </c>
      <c r="H13" s="104">
        <v>0</v>
      </c>
      <c r="I13" s="104">
        <v>0</v>
      </c>
      <c r="J13" s="105">
        <f>H13/2*0.1</f>
        <v>0</v>
      </c>
      <c r="K13" s="105">
        <f>H13/2*0.05</f>
        <v>0</v>
      </c>
      <c r="L13" s="105">
        <f>H13/2*0.15</f>
        <v>0</v>
      </c>
      <c r="M13" s="104">
        <v>0</v>
      </c>
      <c r="O13" s="53"/>
    </row>
    <row r="14" spans="1:15" x14ac:dyDescent="0.25">
      <c r="A14" s="10"/>
      <c r="B14" s="33" t="s">
        <v>42</v>
      </c>
      <c r="C14" s="33"/>
      <c r="D14" s="25" t="s">
        <v>22</v>
      </c>
      <c r="E14" s="74">
        <v>4</v>
      </c>
      <c r="F14" s="75" t="s">
        <v>82</v>
      </c>
      <c r="G14" s="26" t="s">
        <v>83</v>
      </c>
      <c r="H14" s="104">
        <v>0</v>
      </c>
      <c r="I14" s="104">
        <v>0</v>
      </c>
      <c r="J14" s="105">
        <v>0</v>
      </c>
      <c r="K14" s="105">
        <v>0</v>
      </c>
      <c r="L14" s="105">
        <f>H14*0.05</f>
        <v>0</v>
      </c>
      <c r="M14" s="104">
        <v>0</v>
      </c>
      <c r="O14" s="53"/>
    </row>
    <row r="15" spans="1:15" x14ac:dyDescent="0.25">
      <c r="A15" s="10"/>
      <c r="B15" s="33" t="s">
        <v>96</v>
      </c>
      <c r="C15" s="33"/>
      <c r="D15" s="25" t="s">
        <v>37</v>
      </c>
      <c r="E15" s="83">
        <v>2</v>
      </c>
      <c r="F15" s="84" t="s">
        <v>93</v>
      </c>
      <c r="G15" s="26" t="s">
        <v>94</v>
      </c>
      <c r="H15" s="104">
        <v>0</v>
      </c>
      <c r="I15" s="104">
        <v>0</v>
      </c>
      <c r="J15" s="105">
        <f>H15*0.1</f>
        <v>0</v>
      </c>
      <c r="K15" s="105">
        <f>H15*0.05</f>
        <v>0</v>
      </c>
      <c r="L15" s="105">
        <v>0</v>
      </c>
      <c r="M15" s="104">
        <v>0</v>
      </c>
      <c r="O15" s="53"/>
    </row>
    <row r="16" spans="1:15" s="100" customFormat="1" ht="14.25" hidden="1" x14ac:dyDescent="0.25">
      <c r="A16" s="10"/>
      <c r="B16" s="95" t="s">
        <v>97</v>
      </c>
      <c r="C16" s="95"/>
      <c r="D16" s="96" t="s">
        <v>37</v>
      </c>
      <c r="E16" s="96">
        <v>2</v>
      </c>
      <c r="F16" s="97" t="s">
        <v>93</v>
      </c>
      <c r="G16" s="97" t="s">
        <v>94</v>
      </c>
      <c r="H16" s="98">
        <f>I16/0.85</f>
        <v>0</v>
      </c>
      <c r="I16" s="98">
        <v>0</v>
      </c>
      <c r="J16" s="99">
        <v>0</v>
      </c>
      <c r="K16" s="99">
        <v>0</v>
      </c>
      <c r="L16" s="99">
        <f>H16*0.15</f>
        <v>0</v>
      </c>
      <c r="M16" s="98">
        <v>0</v>
      </c>
      <c r="O16" s="101"/>
    </row>
    <row r="17" spans="1:15" x14ac:dyDescent="0.25">
      <c r="A17" s="102" t="s">
        <v>43</v>
      </c>
      <c r="B17" s="103" t="s">
        <v>44</v>
      </c>
      <c r="C17" s="33"/>
      <c r="D17" s="25" t="s">
        <v>98</v>
      </c>
      <c r="E17" s="25">
        <v>4</v>
      </c>
      <c r="F17" s="25"/>
      <c r="G17" s="26" t="s">
        <v>99</v>
      </c>
      <c r="H17" s="104">
        <f>I17/0.85</f>
        <v>0</v>
      </c>
      <c r="I17" s="104">
        <v>0</v>
      </c>
      <c r="J17" s="105">
        <v>0</v>
      </c>
      <c r="K17" s="105">
        <f>H17*0.15</f>
        <v>0</v>
      </c>
      <c r="L17" s="105">
        <v>0</v>
      </c>
      <c r="M17" s="104">
        <v>0</v>
      </c>
      <c r="O17" s="53"/>
    </row>
    <row r="18" spans="1:15" ht="14.25" customHeight="1" x14ac:dyDescent="0.25">
      <c r="A18" s="9" t="s">
        <v>26</v>
      </c>
      <c r="B18" s="9"/>
      <c r="C18" s="9"/>
      <c r="D18" s="9"/>
      <c r="E18" s="9"/>
      <c r="F18" s="35"/>
      <c r="G18" s="30"/>
      <c r="H18" s="30"/>
      <c r="I18" s="30"/>
      <c r="J18" s="30"/>
      <c r="K18" s="30"/>
      <c r="L18" s="30"/>
      <c r="M18" s="30"/>
      <c r="O18" s="53"/>
    </row>
    <row r="20" spans="1:15" x14ac:dyDescent="0.25">
      <c r="A20" s="146" t="s">
        <v>115</v>
      </c>
      <c r="B20" s="146"/>
      <c r="C20" s="146"/>
      <c r="D20" s="146"/>
      <c r="E20" s="146"/>
    </row>
    <row r="21" spans="1:15" ht="42.75" x14ac:dyDescent="0.25">
      <c r="A21" s="17" t="s">
        <v>56</v>
      </c>
      <c r="B21" s="17" t="s">
        <v>9</v>
      </c>
      <c r="C21" s="70" t="s">
        <v>101</v>
      </c>
      <c r="D21" s="70" t="s">
        <v>102</v>
      </c>
      <c r="E21" s="70" t="s">
        <v>103</v>
      </c>
    </row>
    <row r="22" spans="1:15" ht="14.25" customHeight="1" x14ac:dyDescent="0.25">
      <c r="A22" s="14" t="s">
        <v>61</v>
      </c>
      <c r="B22" s="24" t="s">
        <v>22</v>
      </c>
      <c r="C22" s="104">
        <f>SUM(I6,I7,I8,I14)</f>
        <v>0</v>
      </c>
      <c r="D22" s="104">
        <f>SUM(J6,J7,J8,J14,K6,K7,K8,K14,L6,L7,L8,L14)</f>
        <v>0</v>
      </c>
      <c r="E22" s="104">
        <f>SUM(H6,H7,H8,H14)</f>
        <v>0</v>
      </c>
    </row>
    <row r="23" spans="1:15" x14ac:dyDescent="0.25">
      <c r="A23" s="14"/>
      <c r="B23" s="24" t="s">
        <v>25</v>
      </c>
      <c r="C23" s="104">
        <f>SUM((I17))</f>
        <v>0</v>
      </c>
      <c r="D23" s="104">
        <f>SUM(J17,K17,L17)</f>
        <v>0</v>
      </c>
      <c r="E23" s="104">
        <f>SUM(H17)</f>
        <v>0</v>
      </c>
    </row>
    <row r="24" spans="1:15" x14ac:dyDescent="0.25">
      <c r="A24" s="14"/>
      <c r="B24" s="30" t="s">
        <v>63</v>
      </c>
      <c r="C24" s="108">
        <f>SUM(C22:C23)</f>
        <v>0</v>
      </c>
      <c r="D24" s="108">
        <f>SUM(D22:D23)</f>
        <v>0</v>
      </c>
      <c r="E24" s="108">
        <f>SUM(E22,E23)</f>
        <v>0</v>
      </c>
    </row>
    <row r="25" spans="1:15" ht="14.25" customHeight="1" x14ac:dyDescent="0.25">
      <c r="A25" s="14" t="s">
        <v>65</v>
      </c>
      <c r="B25" s="24" t="s">
        <v>23</v>
      </c>
      <c r="C25" s="104">
        <f>SUM(I13,I15,I16)</f>
        <v>0</v>
      </c>
      <c r="D25" s="104">
        <f>SUM(J13,J15,J16,K13,K15,K16,L13,L15,L16)</f>
        <v>0</v>
      </c>
      <c r="E25" s="104">
        <f>SUM(H13,H15,H16)</f>
        <v>0</v>
      </c>
    </row>
    <row r="26" spans="1:15" x14ac:dyDescent="0.25">
      <c r="A26" s="14"/>
      <c r="B26" s="30" t="s">
        <v>67</v>
      </c>
      <c r="C26" s="108">
        <f>SUM(C25)</f>
        <v>0</v>
      </c>
      <c r="D26" s="108">
        <f>SUM(D25)</f>
        <v>0</v>
      </c>
      <c r="E26" s="108">
        <f>SUM(E25)</f>
        <v>0</v>
      </c>
    </row>
    <row r="27" spans="1:15" ht="14.25" customHeight="1" x14ac:dyDescent="0.25">
      <c r="A27" s="14" t="s">
        <v>68</v>
      </c>
      <c r="B27" s="52" t="s">
        <v>24</v>
      </c>
      <c r="C27" s="126">
        <f>SUM(I9,I10,I11,I12)</f>
        <v>0</v>
      </c>
      <c r="D27" s="104">
        <f>SUM(J9,J10,J11,J12,K9,K10,K11,K12,L9,L10,L11,L12)</f>
        <v>0</v>
      </c>
      <c r="E27" s="104">
        <f>SUM(H9,H10,H11,H12)</f>
        <v>0</v>
      </c>
    </row>
    <row r="28" spans="1:15" x14ac:dyDescent="0.25">
      <c r="A28" s="14"/>
      <c r="B28" s="30" t="s">
        <v>69</v>
      </c>
      <c r="C28" s="108">
        <f>SUM(C27)</f>
        <v>0</v>
      </c>
      <c r="D28" s="108">
        <f>SUM(D27)</f>
        <v>0</v>
      </c>
      <c r="E28" s="108">
        <f>SUM(E27)</f>
        <v>0</v>
      </c>
    </row>
    <row r="29" spans="1:15" x14ac:dyDescent="0.25">
      <c r="A29" s="17" t="s">
        <v>70</v>
      </c>
      <c r="B29" s="30" t="s">
        <v>26</v>
      </c>
      <c r="C29" s="127">
        <f>C24+C26+C28</f>
        <v>0</v>
      </c>
      <c r="D29" s="127">
        <f>D24+D26+D28</f>
        <v>0</v>
      </c>
      <c r="E29" s="127">
        <f>E24+E26+E28</f>
        <v>0</v>
      </c>
    </row>
    <row r="31" spans="1:15" x14ac:dyDescent="0.25">
      <c r="A31" s="2" t="s">
        <v>116</v>
      </c>
      <c r="B31" s="2"/>
      <c r="C31" s="2"/>
      <c r="D31" s="2"/>
      <c r="E31" s="2"/>
      <c r="F31" s="2"/>
      <c r="G31" s="2"/>
      <c r="H31" s="2"/>
      <c r="I31" s="2"/>
      <c r="J31" s="2"/>
    </row>
    <row r="32" spans="1:15" ht="15" customHeight="1" x14ac:dyDescent="0.25">
      <c r="A32" s="1" t="s">
        <v>105</v>
      </c>
      <c r="B32" s="1" t="s">
        <v>10</v>
      </c>
      <c r="C32" s="1" t="s">
        <v>11</v>
      </c>
      <c r="D32" s="1" t="s">
        <v>107</v>
      </c>
      <c r="E32" s="141" t="s">
        <v>117</v>
      </c>
      <c r="F32" s="141"/>
      <c r="G32" s="141"/>
      <c r="H32" s="141"/>
      <c r="I32" s="141"/>
      <c r="J32" s="142" t="s">
        <v>118</v>
      </c>
    </row>
    <row r="33" spans="1:10" ht="14.25" customHeight="1" x14ac:dyDescent="0.25">
      <c r="A33" s="1"/>
      <c r="B33" s="1"/>
      <c r="C33" s="1"/>
      <c r="D33" s="1"/>
      <c r="E33" s="143" t="s">
        <v>13</v>
      </c>
      <c r="F33" s="144" t="s">
        <v>109</v>
      </c>
      <c r="G33" s="144"/>
      <c r="H33" s="144" t="s">
        <v>15</v>
      </c>
      <c r="I33" s="144"/>
      <c r="J33" s="142"/>
    </row>
    <row r="34" spans="1:10" x14ac:dyDescent="0.25">
      <c r="A34" s="1"/>
      <c r="B34" s="1"/>
      <c r="C34" s="1"/>
      <c r="D34" s="1"/>
      <c r="E34" s="143"/>
      <c r="F34" s="144"/>
      <c r="G34" s="144"/>
      <c r="H34" s="144"/>
      <c r="I34" s="144"/>
      <c r="J34" s="142"/>
    </row>
    <row r="35" spans="1:10" ht="63.75" x14ac:dyDescent="0.25">
      <c r="A35" s="1"/>
      <c r="B35" s="1"/>
      <c r="C35" s="1"/>
      <c r="D35" s="1"/>
      <c r="E35" s="143"/>
      <c r="F35" s="113" t="s">
        <v>110</v>
      </c>
      <c r="G35" s="114" t="s">
        <v>111</v>
      </c>
      <c r="H35" s="113" t="s">
        <v>112</v>
      </c>
      <c r="I35" s="113" t="s">
        <v>80</v>
      </c>
      <c r="J35" s="142"/>
    </row>
    <row r="36" spans="1:10" x14ac:dyDescent="0.25">
      <c r="A36" s="115" t="s">
        <v>23</v>
      </c>
      <c r="B36" s="116">
        <v>2</v>
      </c>
      <c r="C36" s="117" t="s">
        <v>93</v>
      </c>
      <c r="D36" s="117" t="s">
        <v>94</v>
      </c>
      <c r="E36" s="119">
        <f t="shared" ref="E36:J36" si="0">SUM(H13,H15,H16)</f>
        <v>0</v>
      </c>
      <c r="F36" s="119">
        <f t="shared" si="0"/>
        <v>0</v>
      </c>
      <c r="G36" s="119">
        <f t="shared" si="0"/>
        <v>0</v>
      </c>
      <c r="H36" s="119">
        <f t="shared" si="0"/>
        <v>0</v>
      </c>
      <c r="I36" s="119">
        <f t="shared" si="0"/>
        <v>0</v>
      </c>
      <c r="J36" s="119">
        <f t="shared" si="0"/>
        <v>0</v>
      </c>
    </row>
    <row r="37" spans="1:10" ht="14.25" customHeight="1" x14ac:dyDescent="0.25">
      <c r="A37" s="145" t="s">
        <v>24</v>
      </c>
      <c r="B37" s="120" t="s">
        <v>88</v>
      </c>
      <c r="C37" s="120" t="s">
        <v>89</v>
      </c>
      <c r="D37" s="120" t="s">
        <v>91</v>
      </c>
      <c r="E37" s="119">
        <f t="shared" ref="E37:J37" si="1">SUM(H10,H11,H12)</f>
        <v>0</v>
      </c>
      <c r="F37" s="119">
        <f t="shared" si="1"/>
        <v>0</v>
      </c>
      <c r="G37" s="119">
        <f t="shared" si="1"/>
        <v>0</v>
      </c>
      <c r="H37" s="119">
        <f t="shared" si="1"/>
        <v>0</v>
      </c>
      <c r="I37" s="119">
        <f t="shared" si="1"/>
        <v>0</v>
      </c>
      <c r="J37" s="119">
        <f t="shared" si="1"/>
        <v>0</v>
      </c>
    </row>
    <row r="38" spans="1:10" x14ac:dyDescent="0.25">
      <c r="A38" s="145"/>
      <c r="B38" s="120" t="s">
        <v>88</v>
      </c>
      <c r="C38" s="120" t="s">
        <v>89</v>
      </c>
      <c r="D38" s="120" t="s">
        <v>90</v>
      </c>
      <c r="E38" s="119">
        <f t="shared" ref="E38:J38" si="2">SUM(H9)</f>
        <v>0</v>
      </c>
      <c r="F38" s="119">
        <f t="shared" si="2"/>
        <v>0</v>
      </c>
      <c r="G38" s="119">
        <f t="shared" si="2"/>
        <v>0</v>
      </c>
      <c r="H38" s="119">
        <f t="shared" si="2"/>
        <v>0</v>
      </c>
      <c r="I38" s="119">
        <f t="shared" si="2"/>
        <v>0</v>
      </c>
      <c r="J38" s="119">
        <f t="shared" si="2"/>
        <v>0</v>
      </c>
    </row>
    <row r="39" spans="1:10" x14ac:dyDescent="0.25">
      <c r="A39" s="115" t="s">
        <v>22</v>
      </c>
      <c r="B39" s="121">
        <v>4</v>
      </c>
      <c r="C39" s="121" t="s">
        <v>82</v>
      </c>
      <c r="D39" s="122" t="s">
        <v>83</v>
      </c>
      <c r="E39" s="119">
        <f t="shared" ref="E39:J39" si="3">SUM(H6,H7,H8,H14)</f>
        <v>0</v>
      </c>
      <c r="F39" s="119">
        <f t="shared" si="3"/>
        <v>0</v>
      </c>
      <c r="G39" s="119">
        <f t="shared" si="3"/>
        <v>0</v>
      </c>
      <c r="H39" s="119">
        <f t="shared" si="3"/>
        <v>0</v>
      </c>
      <c r="I39" s="119">
        <f t="shared" si="3"/>
        <v>0</v>
      </c>
      <c r="J39" s="119">
        <f t="shared" si="3"/>
        <v>0</v>
      </c>
    </row>
    <row r="40" spans="1:10" x14ac:dyDescent="0.25">
      <c r="A40" s="123" t="s">
        <v>25</v>
      </c>
      <c r="B40" s="52">
        <v>4</v>
      </c>
      <c r="C40" s="52"/>
      <c r="D40" s="124" t="s">
        <v>99</v>
      </c>
      <c r="E40" s="119">
        <f t="shared" ref="E40:J40" si="4">SUM(H17)</f>
        <v>0</v>
      </c>
      <c r="F40" s="119">
        <f t="shared" si="4"/>
        <v>0</v>
      </c>
      <c r="G40" s="119">
        <f t="shared" si="4"/>
        <v>0</v>
      </c>
      <c r="H40" s="119">
        <f t="shared" si="4"/>
        <v>0</v>
      </c>
      <c r="I40" s="119">
        <f t="shared" si="4"/>
        <v>0</v>
      </c>
      <c r="J40" s="119">
        <f t="shared" si="4"/>
        <v>0</v>
      </c>
    </row>
  </sheetData>
  <mergeCells count="32"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  <mergeCell ref="A10:A12"/>
    <mergeCell ref="A13:A16"/>
    <mergeCell ref="A18:E18"/>
    <mergeCell ref="A20:E20"/>
    <mergeCell ref="A22:A24"/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40"/>
  <sheetViews>
    <sheetView topLeftCell="D4" zoomScaleNormal="100" workbookViewId="0">
      <selection activeCell="I21" sqref="I21"/>
    </sheetView>
  </sheetViews>
  <sheetFormatPr defaultRowHeight="15" x14ac:dyDescent="0.25"/>
  <cols>
    <col min="1" max="1" width="20.140625" style="15" customWidth="1"/>
    <col min="2" max="2" width="12.7109375" style="15" customWidth="1"/>
    <col min="3" max="4" width="12.140625" style="15" customWidth="1"/>
    <col min="5" max="5" width="15" style="15" customWidth="1"/>
    <col min="6" max="6" width="12.140625" style="15" customWidth="1"/>
    <col min="7" max="7" width="10.7109375" style="15" customWidth="1"/>
    <col min="8" max="9" width="11.85546875" style="15" customWidth="1"/>
    <col min="10" max="10" width="11.42578125" style="15"/>
    <col min="11" max="11" width="13.5703125" style="15" customWidth="1"/>
    <col min="12" max="12" width="11.85546875" style="15" customWidth="1"/>
    <col min="13" max="14" width="9.140625" style="15" customWidth="1"/>
    <col min="15" max="15" width="9.85546875" style="15" customWidth="1"/>
    <col min="16" max="1025" width="9.140625" style="15" customWidth="1"/>
  </cols>
  <sheetData>
    <row r="1" spans="1:15" x14ac:dyDescent="0.25">
      <c r="A1" s="7" t="s">
        <v>119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ht="14.2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6" t="s">
        <v>6</v>
      </c>
      <c r="I2" s="6"/>
      <c r="J2" s="6"/>
      <c r="K2" s="6"/>
      <c r="L2" s="6"/>
      <c r="M2" s="14" t="s">
        <v>7</v>
      </c>
    </row>
    <row r="3" spans="1:15" ht="14.25" customHeight="1" x14ac:dyDescent="0.25">
      <c r="A3" s="14"/>
      <c r="B3" s="14"/>
      <c r="C3" s="14"/>
      <c r="D3" s="14"/>
      <c r="E3" s="14"/>
      <c r="F3" s="14"/>
      <c r="G3" s="14"/>
      <c r="H3" s="6"/>
      <c r="I3" s="6"/>
      <c r="J3" s="6"/>
      <c r="K3" s="6"/>
      <c r="L3" s="6"/>
      <c r="M3" s="14"/>
    </row>
    <row r="4" spans="1:15" ht="14.2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5" t="s">
        <v>114</v>
      </c>
      <c r="I4" s="5" t="s">
        <v>14</v>
      </c>
      <c r="J4" s="5"/>
      <c r="K4" s="5" t="s">
        <v>15</v>
      </c>
      <c r="L4" s="5"/>
      <c r="M4" s="14"/>
    </row>
    <row r="5" spans="1:15" ht="55.5" customHeight="1" x14ac:dyDescent="0.25">
      <c r="A5" s="14"/>
      <c r="B5" s="14"/>
      <c r="C5" s="14"/>
      <c r="D5" s="12"/>
      <c r="E5" s="12"/>
      <c r="F5" s="12"/>
      <c r="G5" s="12"/>
      <c r="H5" s="5"/>
      <c r="I5" s="71" t="s">
        <v>77</v>
      </c>
      <c r="J5" s="71" t="s">
        <v>78</v>
      </c>
      <c r="K5" s="71" t="s">
        <v>79</v>
      </c>
      <c r="L5" s="71" t="s">
        <v>80</v>
      </c>
      <c r="M5" s="14"/>
    </row>
    <row r="6" spans="1:15" x14ac:dyDescent="0.25">
      <c r="A6" s="23" t="s">
        <v>27</v>
      </c>
      <c r="B6" s="24" t="s">
        <v>28</v>
      </c>
      <c r="C6" s="24"/>
      <c r="D6" s="25" t="s">
        <v>22</v>
      </c>
      <c r="E6" s="74">
        <v>4</v>
      </c>
      <c r="F6" s="75" t="s">
        <v>82</v>
      </c>
      <c r="G6" s="26" t="s">
        <v>83</v>
      </c>
      <c r="H6" s="104">
        <f>I6/0.95</f>
        <v>4210.5263157894742</v>
      </c>
      <c r="I6" s="104">
        <v>4000</v>
      </c>
      <c r="J6" s="105">
        <v>0</v>
      </c>
      <c r="K6" s="105">
        <f>H6*0.05</f>
        <v>210.52631578947373</v>
      </c>
      <c r="L6" s="105">
        <v>0</v>
      </c>
      <c r="M6" s="104">
        <v>0</v>
      </c>
      <c r="O6" s="53"/>
    </row>
    <row r="7" spans="1:15" ht="14.25" customHeight="1" x14ac:dyDescent="0.25">
      <c r="A7" s="23" t="s">
        <v>31</v>
      </c>
      <c r="B7" s="24" t="s">
        <v>34</v>
      </c>
      <c r="C7" s="24"/>
      <c r="D7" s="25" t="s">
        <v>22</v>
      </c>
      <c r="E7" s="125">
        <v>4</v>
      </c>
      <c r="F7" s="90" t="s">
        <v>82</v>
      </c>
      <c r="G7" s="88" t="s">
        <v>83</v>
      </c>
      <c r="H7" s="126">
        <f>I7/0.95</f>
        <v>3684.2105263157896</v>
      </c>
      <c r="I7" s="126">
        <v>3500</v>
      </c>
      <c r="J7" s="128">
        <v>0</v>
      </c>
      <c r="K7" s="128">
        <f>H7*0.05</f>
        <v>184.21052631578948</v>
      </c>
      <c r="L7" s="128">
        <v>0</v>
      </c>
      <c r="M7" s="126">
        <v>0</v>
      </c>
      <c r="O7" s="53"/>
    </row>
    <row r="8" spans="1:15" ht="14.25" customHeight="1" x14ac:dyDescent="0.25">
      <c r="A8" s="23" t="s">
        <v>84</v>
      </c>
      <c r="B8" s="24" t="s">
        <v>85</v>
      </c>
      <c r="C8" s="24"/>
      <c r="D8" s="25" t="s">
        <v>22</v>
      </c>
      <c r="E8" s="125">
        <v>4</v>
      </c>
      <c r="F8" s="90" t="s">
        <v>82</v>
      </c>
      <c r="G8" s="88" t="s">
        <v>83</v>
      </c>
      <c r="H8" s="126">
        <f>I8/0.95</f>
        <v>631.57894736842104</v>
      </c>
      <c r="I8" s="126">
        <v>600</v>
      </c>
      <c r="J8" s="128">
        <v>0</v>
      </c>
      <c r="K8" s="128">
        <f>H8*0.025</f>
        <v>15.789473684210527</v>
      </c>
      <c r="L8" s="128">
        <f>H8*0.025</f>
        <v>15.789473684210527</v>
      </c>
      <c r="M8" s="126">
        <v>0</v>
      </c>
      <c r="O8" s="53"/>
    </row>
    <row r="9" spans="1:15" x14ac:dyDescent="0.25">
      <c r="A9" s="23" t="s">
        <v>86</v>
      </c>
      <c r="B9" s="24" t="s">
        <v>87</v>
      </c>
      <c r="C9" s="24"/>
      <c r="D9" s="25" t="s">
        <v>24</v>
      </c>
      <c r="E9" s="90" t="s">
        <v>88</v>
      </c>
      <c r="F9" s="90" t="s">
        <v>89</v>
      </c>
      <c r="G9" s="88" t="s">
        <v>90</v>
      </c>
      <c r="H9" s="126">
        <v>0</v>
      </c>
      <c r="I9" s="126">
        <f>H9*0.8*0.75</f>
        <v>0</v>
      </c>
      <c r="J9" s="128">
        <f>H9*0.8*0.25</f>
        <v>0</v>
      </c>
      <c r="K9" s="128">
        <v>0</v>
      </c>
      <c r="L9" s="128">
        <f>H9*0.2</f>
        <v>0</v>
      </c>
      <c r="M9" s="126">
        <v>0</v>
      </c>
      <c r="O9" s="53"/>
    </row>
    <row r="10" spans="1:15" ht="14.25" customHeight="1" x14ac:dyDescent="0.25">
      <c r="A10" s="10" t="s">
        <v>35</v>
      </c>
      <c r="B10" s="24" t="s">
        <v>36</v>
      </c>
      <c r="C10" s="24"/>
      <c r="D10" s="25" t="s">
        <v>24</v>
      </c>
      <c r="E10" s="90" t="s">
        <v>88</v>
      </c>
      <c r="F10" s="90" t="s">
        <v>89</v>
      </c>
      <c r="G10" s="88" t="s">
        <v>91</v>
      </c>
      <c r="H10" s="126">
        <v>6000</v>
      </c>
      <c r="I10" s="126">
        <f>H10*0.5*0.75</f>
        <v>2250</v>
      </c>
      <c r="J10" s="128">
        <f>H10*0.5*0.25</f>
        <v>750</v>
      </c>
      <c r="K10" s="128">
        <v>0</v>
      </c>
      <c r="L10" s="128">
        <f>H10*0.5</f>
        <v>3000</v>
      </c>
      <c r="M10" s="126">
        <v>0</v>
      </c>
      <c r="O10" s="53"/>
    </row>
    <row r="11" spans="1:15" x14ac:dyDescent="0.25">
      <c r="A11" s="10"/>
      <c r="B11" s="33" t="s">
        <v>39</v>
      </c>
      <c r="C11" s="33"/>
      <c r="D11" s="25" t="s">
        <v>24</v>
      </c>
      <c r="E11" s="90" t="s">
        <v>88</v>
      </c>
      <c r="F11" s="90" t="s">
        <v>89</v>
      </c>
      <c r="G11" s="88" t="s">
        <v>91</v>
      </c>
      <c r="H11" s="126">
        <v>661.34</v>
      </c>
      <c r="I11" s="126">
        <f>H11*0.5*0.75</f>
        <v>248.0025</v>
      </c>
      <c r="J11" s="128">
        <f>H11*0.5*0.25</f>
        <v>82.667500000000004</v>
      </c>
      <c r="K11" s="128">
        <v>0</v>
      </c>
      <c r="L11" s="128">
        <f>H11*0.5</f>
        <v>330.67</v>
      </c>
      <c r="M11" s="126">
        <v>0</v>
      </c>
      <c r="O11" s="53"/>
    </row>
    <row r="12" spans="1:15" x14ac:dyDescent="0.25">
      <c r="A12" s="10"/>
      <c r="B12" s="33" t="s">
        <v>92</v>
      </c>
      <c r="C12" s="33"/>
      <c r="D12" s="25" t="s">
        <v>24</v>
      </c>
      <c r="E12" s="90" t="s">
        <v>88</v>
      </c>
      <c r="F12" s="90" t="s">
        <v>89</v>
      </c>
      <c r="G12" s="88" t="s">
        <v>91</v>
      </c>
      <c r="H12" s="85">
        <v>4444.4399999999996</v>
      </c>
      <c r="I12" s="85">
        <f>H12*0.45*0.75</f>
        <v>1499.9984999999999</v>
      </c>
      <c r="J12" s="128">
        <f>H12*0.45*0.25</f>
        <v>499.99949999999995</v>
      </c>
      <c r="K12" s="128">
        <v>0</v>
      </c>
      <c r="L12" s="128">
        <f>H12*0.55</f>
        <v>2444.442</v>
      </c>
      <c r="M12" s="126">
        <v>0</v>
      </c>
      <c r="O12" s="53"/>
    </row>
    <row r="13" spans="1:15" ht="14.25" customHeight="1" x14ac:dyDescent="0.25">
      <c r="A13" s="10" t="s">
        <v>40</v>
      </c>
      <c r="B13" s="33" t="s">
        <v>41</v>
      </c>
      <c r="C13" s="33"/>
      <c r="D13" s="25" t="s">
        <v>37</v>
      </c>
      <c r="E13" s="125">
        <v>2</v>
      </c>
      <c r="F13" s="90" t="s">
        <v>93</v>
      </c>
      <c r="G13" s="88" t="s">
        <v>94</v>
      </c>
      <c r="H13" s="126">
        <v>0</v>
      </c>
      <c r="I13" s="126">
        <v>0</v>
      </c>
      <c r="J13" s="128">
        <v>0</v>
      </c>
      <c r="K13" s="128">
        <v>0</v>
      </c>
      <c r="L13" s="128">
        <v>0</v>
      </c>
      <c r="M13" s="126">
        <v>0</v>
      </c>
      <c r="O13" s="53"/>
    </row>
    <row r="14" spans="1:15" x14ac:dyDescent="0.25">
      <c r="A14" s="10"/>
      <c r="B14" s="33" t="s">
        <v>42</v>
      </c>
      <c r="C14" s="33"/>
      <c r="D14" s="25" t="s">
        <v>22</v>
      </c>
      <c r="E14" s="129">
        <v>4</v>
      </c>
      <c r="F14" s="130" t="s">
        <v>82</v>
      </c>
      <c r="G14" s="88" t="s">
        <v>83</v>
      </c>
      <c r="H14" s="126">
        <v>526.32000000000005</v>
      </c>
      <c r="I14" s="126">
        <f>H14*0.95</f>
        <v>500.00400000000002</v>
      </c>
      <c r="J14" s="128">
        <v>0</v>
      </c>
      <c r="K14" s="128">
        <v>0</v>
      </c>
      <c r="L14" s="128">
        <f>H14*0.05</f>
        <v>26.316000000000003</v>
      </c>
      <c r="M14" s="126">
        <v>0</v>
      </c>
      <c r="O14" s="53"/>
    </row>
    <row r="15" spans="1:15" x14ac:dyDescent="0.25">
      <c r="A15" s="10"/>
      <c r="B15" s="33" t="s">
        <v>96</v>
      </c>
      <c r="C15" s="33"/>
      <c r="D15" s="25" t="s">
        <v>37</v>
      </c>
      <c r="E15" s="125">
        <v>2</v>
      </c>
      <c r="F15" s="90" t="s">
        <v>93</v>
      </c>
      <c r="G15" s="88" t="s">
        <v>94</v>
      </c>
      <c r="H15" s="126">
        <v>0</v>
      </c>
      <c r="I15" s="126">
        <v>0</v>
      </c>
      <c r="J15" s="128">
        <v>0</v>
      </c>
      <c r="K15" s="128">
        <v>0</v>
      </c>
      <c r="L15" s="128">
        <v>0</v>
      </c>
      <c r="M15" s="126">
        <v>0</v>
      </c>
      <c r="O15" s="53"/>
    </row>
    <row r="16" spans="1:15" s="100" customFormat="1" ht="14.25" hidden="1" x14ac:dyDescent="0.25">
      <c r="A16" s="10"/>
      <c r="B16" s="95" t="s">
        <v>97</v>
      </c>
      <c r="C16" s="95"/>
      <c r="D16" s="96" t="s">
        <v>37</v>
      </c>
      <c r="E16" s="96">
        <v>2</v>
      </c>
      <c r="F16" s="97" t="s">
        <v>93</v>
      </c>
      <c r="G16" s="97" t="s">
        <v>94</v>
      </c>
      <c r="H16" s="98">
        <v>0</v>
      </c>
      <c r="I16" s="98">
        <v>0</v>
      </c>
      <c r="J16" s="99">
        <v>0</v>
      </c>
      <c r="K16" s="99">
        <v>0</v>
      </c>
      <c r="L16" s="99">
        <f>H16*0.15</f>
        <v>0</v>
      </c>
      <c r="M16" s="98">
        <v>0</v>
      </c>
      <c r="O16" s="101"/>
    </row>
    <row r="17" spans="1:15" x14ac:dyDescent="0.25">
      <c r="A17" s="102" t="s">
        <v>43</v>
      </c>
      <c r="B17" s="103" t="s">
        <v>44</v>
      </c>
      <c r="C17" s="33"/>
      <c r="D17" s="25" t="s">
        <v>98</v>
      </c>
      <c r="E17" s="25">
        <v>4</v>
      </c>
      <c r="F17" s="25"/>
      <c r="G17" s="26" t="s">
        <v>99</v>
      </c>
      <c r="H17" s="131">
        <v>0</v>
      </c>
      <c r="I17" s="131">
        <v>0</v>
      </c>
      <c r="J17" s="132">
        <v>0</v>
      </c>
      <c r="K17" s="132">
        <f>H17*0.15</f>
        <v>0</v>
      </c>
      <c r="L17" s="132">
        <v>0</v>
      </c>
      <c r="M17" s="131">
        <v>0</v>
      </c>
      <c r="O17" s="53"/>
    </row>
    <row r="18" spans="1:15" ht="14.25" customHeight="1" x14ac:dyDescent="0.25">
      <c r="A18" s="9" t="s">
        <v>26</v>
      </c>
      <c r="B18" s="9"/>
      <c r="C18" s="9"/>
      <c r="D18" s="9"/>
      <c r="E18" s="9"/>
      <c r="F18" s="35"/>
      <c r="G18" s="30"/>
      <c r="H18" s="30"/>
      <c r="I18" s="30"/>
      <c r="J18" s="30"/>
      <c r="K18" s="30"/>
      <c r="L18" s="30"/>
      <c r="M18" s="30"/>
      <c r="O18" s="53"/>
    </row>
    <row r="20" spans="1:15" x14ac:dyDescent="0.25">
      <c r="A20" s="146" t="s">
        <v>120</v>
      </c>
      <c r="B20" s="146"/>
      <c r="C20" s="146"/>
      <c r="D20" s="146"/>
      <c r="E20" s="146"/>
    </row>
    <row r="21" spans="1:15" ht="42.75" x14ac:dyDescent="0.25">
      <c r="A21" s="17" t="s">
        <v>56</v>
      </c>
      <c r="B21" s="17" t="s">
        <v>9</v>
      </c>
      <c r="C21" s="70" t="s">
        <v>101</v>
      </c>
      <c r="D21" s="70" t="s">
        <v>102</v>
      </c>
      <c r="E21" s="70" t="s">
        <v>103</v>
      </c>
    </row>
    <row r="22" spans="1:15" ht="14.25" customHeight="1" x14ac:dyDescent="0.25">
      <c r="A22" s="14" t="s">
        <v>61</v>
      </c>
      <c r="B22" s="24" t="s">
        <v>22</v>
      </c>
      <c r="C22" s="104">
        <v>8600</v>
      </c>
      <c r="D22" s="104">
        <v>0</v>
      </c>
      <c r="E22" s="104">
        <f t="shared" ref="E22:E29" si="0">C22+D22</f>
        <v>8600</v>
      </c>
    </row>
    <row r="23" spans="1:15" x14ac:dyDescent="0.25">
      <c r="A23" s="14"/>
      <c r="B23" s="24" t="s">
        <v>25</v>
      </c>
      <c r="C23" s="104">
        <v>1000</v>
      </c>
      <c r="D23" s="104">
        <v>0</v>
      </c>
      <c r="E23" s="104">
        <f t="shared" si="0"/>
        <v>1000</v>
      </c>
    </row>
    <row r="24" spans="1:15" x14ac:dyDescent="0.25">
      <c r="A24" s="14"/>
      <c r="B24" s="30" t="s">
        <v>63</v>
      </c>
      <c r="C24" s="108">
        <v>9600</v>
      </c>
      <c r="D24" s="108">
        <f>SUM(D22:D23)</f>
        <v>0</v>
      </c>
      <c r="E24" s="104">
        <f t="shared" si="0"/>
        <v>9600</v>
      </c>
    </row>
    <row r="25" spans="1:15" ht="14.25" customHeight="1" x14ac:dyDescent="0.25">
      <c r="A25" s="14" t="s">
        <v>65</v>
      </c>
      <c r="B25" s="24" t="s">
        <v>23</v>
      </c>
      <c r="C25" s="104">
        <f>SUM(I13,I15,I16)</f>
        <v>0</v>
      </c>
      <c r="D25" s="104">
        <f>SUM(J13,J15,J16,K13,K15,K16,L13,L15,L16)</f>
        <v>0</v>
      </c>
      <c r="E25" s="104">
        <f t="shared" si="0"/>
        <v>0</v>
      </c>
    </row>
    <row r="26" spans="1:15" x14ac:dyDescent="0.25">
      <c r="A26" s="14"/>
      <c r="B26" s="30" t="s">
        <v>67</v>
      </c>
      <c r="C26" s="108">
        <f>SUM(C25)</f>
        <v>0</v>
      </c>
      <c r="D26" s="108">
        <f>SUM(D25)</f>
        <v>0</v>
      </c>
      <c r="E26" s="104">
        <f t="shared" si="0"/>
        <v>0</v>
      </c>
    </row>
    <row r="27" spans="1:15" ht="14.25" customHeight="1" x14ac:dyDescent="0.25">
      <c r="A27" s="14" t="s">
        <v>68</v>
      </c>
      <c r="B27" s="52" t="s">
        <v>24</v>
      </c>
      <c r="C27" s="126">
        <v>3998</v>
      </c>
      <c r="D27" s="126">
        <v>1332.67</v>
      </c>
      <c r="E27" s="126">
        <f t="shared" si="0"/>
        <v>5330.67</v>
      </c>
    </row>
    <row r="28" spans="1:15" x14ac:dyDescent="0.25">
      <c r="A28" s="14"/>
      <c r="B28" s="30" t="s">
        <v>69</v>
      </c>
      <c r="C28" s="108">
        <f>SUM(C27)</f>
        <v>3998</v>
      </c>
      <c r="D28" s="108">
        <f>SUM(D27)</f>
        <v>1332.67</v>
      </c>
      <c r="E28" s="104">
        <f t="shared" si="0"/>
        <v>5330.67</v>
      </c>
    </row>
    <row r="29" spans="1:15" x14ac:dyDescent="0.25">
      <c r="A29" s="17" t="s">
        <v>70</v>
      </c>
      <c r="B29" s="30" t="s">
        <v>26</v>
      </c>
      <c r="C29" s="127">
        <f>C24+C26+C28</f>
        <v>13598</v>
      </c>
      <c r="D29" s="127">
        <f>D24+D26+D28</f>
        <v>1332.67</v>
      </c>
      <c r="E29" s="133">
        <f t="shared" si="0"/>
        <v>14930.67</v>
      </c>
    </row>
    <row r="31" spans="1:15" x14ac:dyDescent="0.25">
      <c r="A31" s="2" t="s">
        <v>121</v>
      </c>
      <c r="B31" s="2"/>
      <c r="C31" s="2"/>
      <c r="D31" s="2"/>
      <c r="E31" s="2"/>
      <c r="F31" s="2"/>
      <c r="G31" s="2"/>
      <c r="H31" s="2"/>
      <c r="I31" s="2"/>
      <c r="J31" s="2"/>
    </row>
    <row r="32" spans="1:15" ht="15" customHeight="1" x14ac:dyDescent="0.25">
      <c r="A32" s="1" t="s">
        <v>105</v>
      </c>
      <c r="B32" s="1" t="s">
        <v>106</v>
      </c>
      <c r="C32" s="1" t="s">
        <v>11</v>
      </c>
      <c r="D32" s="1" t="s">
        <v>107</v>
      </c>
      <c r="E32" s="141" t="s">
        <v>108</v>
      </c>
      <c r="F32" s="141"/>
      <c r="G32" s="141"/>
      <c r="H32" s="141"/>
      <c r="I32" s="141"/>
      <c r="J32" s="142" t="s">
        <v>7</v>
      </c>
    </row>
    <row r="33" spans="1:10" ht="14.25" customHeight="1" x14ac:dyDescent="0.25">
      <c r="A33" s="1"/>
      <c r="B33" s="1"/>
      <c r="C33" s="1"/>
      <c r="D33" s="1"/>
      <c r="E33" s="143" t="s">
        <v>13</v>
      </c>
      <c r="F33" s="144" t="s">
        <v>109</v>
      </c>
      <c r="G33" s="144"/>
      <c r="H33" s="144" t="s">
        <v>15</v>
      </c>
      <c r="I33" s="144"/>
      <c r="J33" s="142"/>
    </row>
    <row r="34" spans="1:10" ht="14.25" customHeight="1" x14ac:dyDescent="0.25">
      <c r="A34" s="1"/>
      <c r="B34" s="1"/>
      <c r="C34" s="1"/>
      <c r="D34" s="1"/>
      <c r="E34" s="143"/>
      <c r="F34" s="144"/>
      <c r="G34" s="144"/>
      <c r="H34" s="144"/>
      <c r="I34" s="144"/>
      <c r="J34" s="142"/>
    </row>
    <row r="35" spans="1:10" ht="63.75" x14ac:dyDescent="0.25">
      <c r="A35" s="1"/>
      <c r="B35" s="1"/>
      <c r="C35" s="1"/>
      <c r="D35" s="1"/>
      <c r="E35" s="143"/>
      <c r="F35" s="113" t="s">
        <v>110</v>
      </c>
      <c r="G35" s="114" t="s">
        <v>111</v>
      </c>
      <c r="H35" s="113" t="s">
        <v>112</v>
      </c>
      <c r="I35" s="113" t="s">
        <v>80</v>
      </c>
      <c r="J35" s="142"/>
    </row>
    <row r="36" spans="1:10" x14ac:dyDescent="0.25">
      <c r="A36" s="115" t="s">
        <v>23</v>
      </c>
      <c r="B36" s="116">
        <v>2</v>
      </c>
      <c r="C36" s="117" t="s">
        <v>93</v>
      </c>
      <c r="D36" s="117" t="s">
        <v>94</v>
      </c>
      <c r="E36" s="119">
        <f t="shared" ref="E36:J36" si="1">SUM(H13,H15,H16)</f>
        <v>0</v>
      </c>
      <c r="F36" s="119">
        <f t="shared" si="1"/>
        <v>0</v>
      </c>
      <c r="G36" s="119">
        <f t="shared" si="1"/>
        <v>0</v>
      </c>
      <c r="H36" s="119">
        <f t="shared" si="1"/>
        <v>0</v>
      </c>
      <c r="I36" s="119">
        <f t="shared" si="1"/>
        <v>0</v>
      </c>
      <c r="J36" s="119">
        <f t="shared" si="1"/>
        <v>0</v>
      </c>
    </row>
    <row r="37" spans="1:10" ht="14.25" customHeight="1" x14ac:dyDescent="0.25">
      <c r="A37" s="145" t="s">
        <v>24</v>
      </c>
      <c r="B37" s="120" t="s">
        <v>88</v>
      </c>
      <c r="C37" s="120" t="s">
        <v>89</v>
      </c>
      <c r="D37" s="120" t="s">
        <v>91</v>
      </c>
      <c r="E37" s="119">
        <f t="shared" ref="E37:J37" si="2">SUM(H10,H11,H12)</f>
        <v>11105.779999999999</v>
      </c>
      <c r="F37" s="119">
        <f t="shared" si="2"/>
        <v>3998.0010000000002</v>
      </c>
      <c r="G37" s="119">
        <f t="shared" si="2"/>
        <v>1332.6669999999999</v>
      </c>
      <c r="H37" s="119">
        <f t="shared" si="2"/>
        <v>0</v>
      </c>
      <c r="I37" s="119">
        <f t="shared" si="2"/>
        <v>5775.1120000000001</v>
      </c>
      <c r="J37" s="119">
        <f t="shared" si="2"/>
        <v>0</v>
      </c>
    </row>
    <row r="38" spans="1:10" x14ac:dyDescent="0.25">
      <c r="A38" s="145"/>
      <c r="B38" s="120" t="s">
        <v>88</v>
      </c>
      <c r="C38" s="120" t="s">
        <v>89</v>
      </c>
      <c r="D38" s="120" t="s">
        <v>90</v>
      </c>
      <c r="E38" s="119">
        <f t="shared" ref="E38:J38" si="3">SUM(H9)</f>
        <v>0</v>
      </c>
      <c r="F38" s="119">
        <f t="shared" si="3"/>
        <v>0</v>
      </c>
      <c r="G38" s="119">
        <f t="shared" si="3"/>
        <v>0</v>
      </c>
      <c r="H38" s="119">
        <f t="shared" si="3"/>
        <v>0</v>
      </c>
      <c r="I38" s="119">
        <f t="shared" si="3"/>
        <v>0</v>
      </c>
      <c r="J38" s="119">
        <f t="shared" si="3"/>
        <v>0</v>
      </c>
    </row>
    <row r="39" spans="1:10" x14ac:dyDescent="0.25">
      <c r="A39" s="115" t="s">
        <v>22</v>
      </c>
      <c r="B39" s="121">
        <v>4</v>
      </c>
      <c r="C39" s="121" t="s">
        <v>82</v>
      </c>
      <c r="D39" s="122" t="s">
        <v>83</v>
      </c>
      <c r="E39" s="119">
        <f t="shared" ref="E39:J39" si="4">SUM(H6,H7,H8,H14)</f>
        <v>9052.6357894736848</v>
      </c>
      <c r="F39" s="119">
        <f t="shared" si="4"/>
        <v>8600.0040000000008</v>
      </c>
      <c r="G39" s="119">
        <f t="shared" si="4"/>
        <v>0</v>
      </c>
      <c r="H39" s="119">
        <f t="shared" si="4"/>
        <v>410.52631578947376</v>
      </c>
      <c r="I39" s="119">
        <f t="shared" si="4"/>
        <v>42.10547368421053</v>
      </c>
      <c r="J39" s="119">
        <f t="shared" si="4"/>
        <v>0</v>
      </c>
    </row>
    <row r="40" spans="1:10" x14ac:dyDescent="0.25">
      <c r="A40" s="123" t="s">
        <v>25</v>
      </c>
      <c r="B40" s="52">
        <v>4</v>
      </c>
      <c r="C40" s="52"/>
      <c r="D40" s="124" t="s">
        <v>99</v>
      </c>
      <c r="E40" s="119">
        <f t="shared" ref="E40:J40" si="5">SUM(H17)</f>
        <v>0</v>
      </c>
      <c r="F40" s="119">
        <f t="shared" si="5"/>
        <v>0</v>
      </c>
      <c r="G40" s="119">
        <f t="shared" si="5"/>
        <v>0</v>
      </c>
      <c r="H40" s="119">
        <f t="shared" si="5"/>
        <v>0</v>
      </c>
      <c r="I40" s="119">
        <f t="shared" si="5"/>
        <v>0</v>
      </c>
      <c r="J40" s="119">
        <f t="shared" si="5"/>
        <v>0</v>
      </c>
    </row>
  </sheetData>
  <mergeCells count="32"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  <mergeCell ref="A10:A12"/>
    <mergeCell ref="A13:A16"/>
    <mergeCell ref="A18:E18"/>
    <mergeCell ref="A20:E20"/>
    <mergeCell ref="A22:A24"/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0"/>
  <sheetViews>
    <sheetView zoomScaleNormal="100" workbookViewId="0">
      <selection activeCell="H13" sqref="H13"/>
    </sheetView>
  </sheetViews>
  <sheetFormatPr defaultRowHeight="15" x14ac:dyDescent="0.25"/>
  <cols>
    <col min="1" max="1" width="20.140625" style="15" customWidth="1"/>
    <col min="2" max="2" width="12.7109375" style="15" customWidth="1"/>
    <col min="3" max="4" width="12.140625" style="15" customWidth="1"/>
    <col min="5" max="5" width="15" style="15" customWidth="1"/>
    <col min="6" max="6" width="12.140625" style="15" customWidth="1"/>
    <col min="7" max="7" width="10.7109375" style="15" customWidth="1"/>
    <col min="8" max="9" width="11.85546875" style="15" customWidth="1"/>
    <col min="10" max="10" width="11.42578125" style="15"/>
    <col min="11" max="11" width="13.5703125" style="15" customWidth="1"/>
    <col min="12" max="12" width="11.85546875" style="15" customWidth="1"/>
    <col min="13" max="14" width="9.140625" style="15" customWidth="1"/>
    <col min="15" max="15" width="9.85546875" style="15" customWidth="1"/>
    <col min="16" max="1025" width="9.140625" style="15" customWidth="1"/>
  </cols>
  <sheetData>
    <row r="1" spans="1:15" x14ac:dyDescent="0.25">
      <c r="A1" s="7" t="s">
        <v>122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ht="14.2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6" t="s">
        <v>6</v>
      </c>
      <c r="I2" s="6"/>
      <c r="J2" s="6"/>
      <c r="K2" s="6"/>
      <c r="L2" s="6"/>
      <c r="M2" s="14" t="s">
        <v>7</v>
      </c>
    </row>
    <row r="3" spans="1:15" ht="14.25" customHeight="1" x14ac:dyDescent="0.25">
      <c r="A3" s="14"/>
      <c r="B3" s="14"/>
      <c r="C3" s="14"/>
      <c r="D3" s="14"/>
      <c r="E3" s="14"/>
      <c r="F3" s="14"/>
      <c r="G3" s="14"/>
      <c r="H3" s="6"/>
      <c r="I3" s="6"/>
      <c r="J3" s="6"/>
      <c r="K3" s="6"/>
      <c r="L3" s="6"/>
      <c r="M3" s="14"/>
    </row>
    <row r="4" spans="1:15" ht="14.2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5" t="s">
        <v>114</v>
      </c>
      <c r="I4" s="5" t="s">
        <v>14</v>
      </c>
      <c r="J4" s="5"/>
      <c r="K4" s="5" t="s">
        <v>15</v>
      </c>
      <c r="L4" s="5"/>
      <c r="M4" s="14"/>
    </row>
    <row r="5" spans="1:15" ht="55.5" customHeight="1" x14ac:dyDescent="0.25">
      <c r="A5" s="14"/>
      <c r="B5" s="14"/>
      <c r="C5" s="14"/>
      <c r="D5" s="12"/>
      <c r="E5" s="12"/>
      <c r="F5" s="12"/>
      <c r="G5" s="12"/>
      <c r="H5" s="5"/>
      <c r="I5" s="71" t="s">
        <v>77</v>
      </c>
      <c r="J5" s="71" t="s">
        <v>78</v>
      </c>
      <c r="K5" s="71" t="s">
        <v>79</v>
      </c>
      <c r="L5" s="71" t="s">
        <v>80</v>
      </c>
      <c r="M5" s="14"/>
    </row>
    <row r="6" spans="1:15" x14ac:dyDescent="0.25">
      <c r="A6" s="23" t="s">
        <v>27</v>
      </c>
      <c r="B6" s="24" t="s">
        <v>28</v>
      </c>
      <c r="C6" s="24"/>
      <c r="D6" s="25" t="s">
        <v>22</v>
      </c>
      <c r="E6" s="74">
        <v>4</v>
      </c>
      <c r="F6" s="75" t="s">
        <v>82</v>
      </c>
      <c r="G6" s="26" t="s">
        <v>83</v>
      </c>
      <c r="H6" s="104">
        <f>I6/0.95</f>
        <v>4210.5263157894742</v>
      </c>
      <c r="I6" s="104">
        <v>4000</v>
      </c>
      <c r="J6" s="105">
        <v>0</v>
      </c>
      <c r="K6" s="105">
        <f>H6*0.05</f>
        <v>210.52631578947373</v>
      </c>
      <c r="L6" s="105">
        <v>0</v>
      </c>
      <c r="M6" s="104">
        <v>0</v>
      </c>
      <c r="O6" s="53"/>
    </row>
    <row r="7" spans="1:15" ht="14.25" customHeight="1" x14ac:dyDescent="0.25">
      <c r="A7" s="23" t="s">
        <v>31</v>
      </c>
      <c r="B7" s="24" t="s">
        <v>34</v>
      </c>
      <c r="C7" s="24"/>
      <c r="D7" s="25" t="s">
        <v>22</v>
      </c>
      <c r="E7" s="125">
        <v>4</v>
      </c>
      <c r="F7" s="90" t="s">
        <v>82</v>
      </c>
      <c r="G7" s="88" t="s">
        <v>83</v>
      </c>
      <c r="H7" s="126">
        <f>I7/0.95</f>
        <v>7355.7894736842109</v>
      </c>
      <c r="I7" s="126">
        <v>6988</v>
      </c>
      <c r="J7" s="128">
        <v>0</v>
      </c>
      <c r="K7" s="128">
        <f>H7*0.05</f>
        <v>367.78947368421058</v>
      </c>
      <c r="L7" s="128">
        <v>0</v>
      </c>
      <c r="M7" s="104">
        <v>0</v>
      </c>
      <c r="O7" s="53"/>
    </row>
    <row r="8" spans="1:15" ht="14.25" customHeight="1" x14ac:dyDescent="0.25">
      <c r="A8" s="23" t="s">
        <v>84</v>
      </c>
      <c r="B8" s="24" t="s">
        <v>85</v>
      </c>
      <c r="C8" s="24"/>
      <c r="D8" s="25" t="s">
        <v>22</v>
      </c>
      <c r="E8" s="125">
        <v>4</v>
      </c>
      <c r="F8" s="90" t="s">
        <v>82</v>
      </c>
      <c r="G8" s="88" t="s">
        <v>83</v>
      </c>
      <c r="H8" s="126">
        <f>I8/0.95</f>
        <v>631.57894736842104</v>
      </c>
      <c r="I8" s="126">
        <v>600</v>
      </c>
      <c r="J8" s="128">
        <v>0</v>
      </c>
      <c r="K8" s="128">
        <f>H8*0.025</f>
        <v>15.789473684210527</v>
      </c>
      <c r="L8" s="128">
        <f>H8*0.025</f>
        <v>15.789473684210527</v>
      </c>
      <c r="M8" s="104">
        <v>0</v>
      </c>
      <c r="O8" s="53"/>
    </row>
    <row r="9" spans="1:15" x14ac:dyDescent="0.25">
      <c r="A9" s="23" t="s">
        <v>86</v>
      </c>
      <c r="B9" s="24" t="s">
        <v>87</v>
      </c>
      <c r="C9" s="24"/>
      <c r="D9" s="25" t="s">
        <v>24</v>
      </c>
      <c r="E9" s="90" t="s">
        <v>88</v>
      </c>
      <c r="F9" s="90" t="s">
        <v>89</v>
      </c>
      <c r="G9" s="88" t="s">
        <v>90</v>
      </c>
      <c r="H9" s="126">
        <v>500</v>
      </c>
      <c r="I9" s="126">
        <f>H9*0.8*0.75</f>
        <v>300</v>
      </c>
      <c r="J9" s="128">
        <f>H9*0.8*0.25</f>
        <v>100</v>
      </c>
      <c r="K9" s="128">
        <v>0</v>
      </c>
      <c r="L9" s="128">
        <f>H9*0.2</f>
        <v>100</v>
      </c>
      <c r="M9" s="104">
        <v>0</v>
      </c>
      <c r="O9" s="53"/>
    </row>
    <row r="10" spans="1:15" ht="14.25" customHeight="1" x14ac:dyDescent="0.25">
      <c r="A10" s="10" t="s">
        <v>35</v>
      </c>
      <c r="B10" s="24" t="s">
        <v>36</v>
      </c>
      <c r="C10" s="24"/>
      <c r="D10" s="25" t="s">
        <v>24</v>
      </c>
      <c r="E10" s="90" t="s">
        <v>88</v>
      </c>
      <c r="F10" s="90" t="s">
        <v>89</v>
      </c>
      <c r="G10" s="88" t="s">
        <v>91</v>
      </c>
      <c r="H10" s="126">
        <v>6000</v>
      </c>
      <c r="I10" s="126">
        <f>H10*0.5*0.75</f>
        <v>2250</v>
      </c>
      <c r="J10" s="128">
        <f>H10*0.5*0.25</f>
        <v>750</v>
      </c>
      <c r="K10" s="128">
        <v>0</v>
      </c>
      <c r="L10" s="128">
        <f>H10*0.5</f>
        <v>3000</v>
      </c>
      <c r="M10" s="104">
        <v>0</v>
      </c>
      <c r="O10" s="53"/>
    </row>
    <row r="11" spans="1:15" x14ac:dyDescent="0.25">
      <c r="A11" s="10"/>
      <c r="B11" s="33" t="s">
        <v>39</v>
      </c>
      <c r="C11" s="33"/>
      <c r="D11" s="25" t="s">
        <v>24</v>
      </c>
      <c r="E11" s="90" t="s">
        <v>88</v>
      </c>
      <c r="F11" s="90" t="s">
        <v>89</v>
      </c>
      <c r="G11" s="88" t="s">
        <v>91</v>
      </c>
      <c r="H11" s="126">
        <v>661.34</v>
      </c>
      <c r="I11" s="126">
        <f>H11*0.5*0.75</f>
        <v>248.0025</v>
      </c>
      <c r="J11" s="128">
        <f>H11*0.5*0.25</f>
        <v>82.667500000000004</v>
      </c>
      <c r="K11" s="128">
        <v>0</v>
      </c>
      <c r="L11" s="128">
        <f>H11*0.5</f>
        <v>330.67</v>
      </c>
      <c r="M11" s="104">
        <v>0</v>
      </c>
      <c r="O11" s="53"/>
    </row>
    <row r="12" spans="1:15" x14ac:dyDescent="0.25">
      <c r="A12" s="10"/>
      <c r="B12" s="33" t="s">
        <v>92</v>
      </c>
      <c r="C12" s="33"/>
      <c r="D12" s="25" t="s">
        <v>24</v>
      </c>
      <c r="E12" s="90" t="s">
        <v>88</v>
      </c>
      <c r="F12" s="90" t="s">
        <v>89</v>
      </c>
      <c r="G12" s="88" t="s">
        <v>91</v>
      </c>
      <c r="H12" s="85">
        <v>2222.2199999999998</v>
      </c>
      <c r="I12" s="85">
        <f>H12*0.45*0.75</f>
        <v>749.99924999999996</v>
      </c>
      <c r="J12" s="128">
        <f>H12*0.45*0.25</f>
        <v>249.99974999999998</v>
      </c>
      <c r="K12" s="128">
        <v>0</v>
      </c>
      <c r="L12" s="128">
        <f>H12*0.55</f>
        <v>1222.221</v>
      </c>
      <c r="M12" s="104">
        <v>0</v>
      </c>
      <c r="O12" s="53"/>
    </row>
    <row r="13" spans="1:15" ht="14.25" customHeight="1" x14ac:dyDescent="0.25">
      <c r="A13" s="10" t="s">
        <v>40</v>
      </c>
      <c r="B13" s="33" t="s">
        <v>41</v>
      </c>
      <c r="C13" s="33"/>
      <c r="D13" s="25" t="s">
        <v>37</v>
      </c>
      <c r="E13" s="125">
        <v>2</v>
      </c>
      <c r="F13" s="90" t="s">
        <v>93</v>
      </c>
      <c r="G13" s="88" t="s">
        <v>94</v>
      </c>
      <c r="H13" s="126">
        <v>2940</v>
      </c>
      <c r="I13" s="126">
        <v>2499</v>
      </c>
      <c r="J13" s="128">
        <v>147</v>
      </c>
      <c r="K13" s="128">
        <v>73.5</v>
      </c>
      <c r="L13" s="128">
        <v>220.5</v>
      </c>
      <c r="M13" s="104">
        <v>0</v>
      </c>
      <c r="O13" s="53"/>
    </row>
    <row r="14" spans="1:15" x14ac:dyDescent="0.25">
      <c r="A14" s="10"/>
      <c r="B14" s="33" t="s">
        <v>42</v>
      </c>
      <c r="C14" s="33"/>
      <c r="D14" s="25" t="s">
        <v>22</v>
      </c>
      <c r="E14" s="129">
        <v>4</v>
      </c>
      <c r="F14" s="130" t="s">
        <v>82</v>
      </c>
      <c r="G14" s="88" t="s">
        <v>83</v>
      </c>
      <c r="H14" s="126">
        <v>521.26</v>
      </c>
      <c r="I14" s="126">
        <f>H14*0.95</f>
        <v>495.19699999999995</v>
      </c>
      <c r="J14" s="128">
        <v>0</v>
      </c>
      <c r="K14" s="128">
        <v>0</v>
      </c>
      <c r="L14" s="128">
        <f>H14*0.05</f>
        <v>26.063000000000002</v>
      </c>
      <c r="M14" s="104">
        <v>0</v>
      </c>
      <c r="O14" s="53"/>
    </row>
    <row r="15" spans="1:15" x14ac:dyDescent="0.25">
      <c r="A15" s="10"/>
      <c r="B15" s="33" t="s">
        <v>96</v>
      </c>
      <c r="C15" s="33"/>
      <c r="D15" s="25" t="s">
        <v>37</v>
      </c>
      <c r="E15" s="125">
        <v>2</v>
      </c>
      <c r="F15" s="90" t="s">
        <v>93</v>
      </c>
      <c r="G15" s="88" t="s">
        <v>94</v>
      </c>
      <c r="H15" s="126">
        <v>1000</v>
      </c>
      <c r="I15" s="126">
        <f>H15*0.85</f>
        <v>850</v>
      </c>
      <c r="J15" s="128">
        <v>72.31</v>
      </c>
      <c r="K15" s="128">
        <v>36.15</v>
      </c>
      <c r="L15" s="128">
        <v>41.54</v>
      </c>
      <c r="M15" s="104">
        <v>0</v>
      </c>
      <c r="O15" s="53"/>
    </row>
    <row r="16" spans="1:15" s="100" customFormat="1" ht="14.25" hidden="1" x14ac:dyDescent="0.25">
      <c r="A16" s="10"/>
      <c r="B16" s="95" t="s">
        <v>97</v>
      </c>
      <c r="C16" s="95"/>
      <c r="D16" s="96" t="s">
        <v>37</v>
      </c>
      <c r="E16" s="96">
        <v>2</v>
      </c>
      <c r="F16" s="97" t="s">
        <v>93</v>
      </c>
      <c r="G16" s="97" t="s">
        <v>94</v>
      </c>
      <c r="H16" s="98">
        <v>0</v>
      </c>
      <c r="I16" s="98">
        <v>0</v>
      </c>
      <c r="J16" s="99">
        <v>0</v>
      </c>
      <c r="K16" s="99">
        <v>0</v>
      </c>
      <c r="L16" s="99">
        <f>H16*0.15</f>
        <v>0</v>
      </c>
      <c r="M16" s="98">
        <v>0</v>
      </c>
      <c r="O16" s="101"/>
    </row>
    <row r="17" spans="1:15" x14ac:dyDescent="0.25">
      <c r="A17" s="102" t="s">
        <v>43</v>
      </c>
      <c r="B17" s="103" t="s">
        <v>44</v>
      </c>
      <c r="C17" s="33"/>
      <c r="D17" s="25" t="s">
        <v>98</v>
      </c>
      <c r="E17" s="25">
        <v>4</v>
      </c>
      <c r="F17" s="25"/>
      <c r="G17" s="26" t="s">
        <v>99</v>
      </c>
      <c r="H17" s="111">
        <v>0</v>
      </c>
      <c r="I17" s="111">
        <v>0</v>
      </c>
      <c r="J17" s="134">
        <v>0</v>
      </c>
      <c r="K17" s="134">
        <f>H17*0.15</f>
        <v>0</v>
      </c>
      <c r="L17" s="134">
        <v>0</v>
      </c>
      <c r="M17" s="111">
        <v>0</v>
      </c>
      <c r="O17" s="53"/>
    </row>
    <row r="18" spans="1:15" ht="14.25" customHeight="1" x14ac:dyDescent="0.25">
      <c r="A18" s="9" t="s">
        <v>26</v>
      </c>
      <c r="B18" s="9"/>
      <c r="C18" s="9"/>
      <c r="D18" s="9"/>
      <c r="E18" s="9"/>
      <c r="F18" s="35"/>
      <c r="G18" s="30"/>
      <c r="H18" s="30"/>
      <c r="I18" s="30"/>
      <c r="J18" s="30"/>
      <c r="K18" s="30"/>
      <c r="L18" s="30"/>
      <c r="M18" s="30"/>
      <c r="O18" s="53"/>
    </row>
    <row r="20" spans="1:15" x14ac:dyDescent="0.25">
      <c r="A20" s="146" t="s">
        <v>123</v>
      </c>
      <c r="B20" s="146"/>
      <c r="C20" s="146"/>
      <c r="D20" s="146"/>
      <c r="E20" s="146"/>
    </row>
    <row r="21" spans="1:15" ht="42.75" x14ac:dyDescent="0.25">
      <c r="A21" s="17" t="s">
        <v>56</v>
      </c>
      <c r="B21" s="17" t="s">
        <v>9</v>
      </c>
      <c r="C21" s="70" t="s">
        <v>101</v>
      </c>
      <c r="D21" s="70" t="s">
        <v>102</v>
      </c>
      <c r="E21" s="70" t="s">
        <v>103</v>
      </c>
    </row>
    <row r="22" spans="1:15" ht="14.25" customHeight="1" x14ac:dyDescent="0.25">
      <c r="A22" s="14" t="s">
        <v>61</v>
      </c>
      <c r="B22" s="24" t="s">
        <v>22</v>
      </c>
      <c r="C22" s="104">
        <v>12083.2</v>
      </c>
      <c r="D22" s="104">
        <v>0</v>
      </c>
      <c r="E22" s="104">
        <f t="shared" ref="E22:E27" si="0">C22+D22</f>
        <v>12083.2</v>
      </c>
    </row>
    <row r="23" spans="1:15" x14ac:dyDescent="0.25">
      <c r="A23" s="14"/>
      <c r="B23" s="24" t="s">
        <v>25</v>
      </c>
      <c r="C23" s="104">
        <v>1592</v>
      </c>
      <c r="D23" s="104">
        <v>0</v>
      </c>
      <c r="E23" s="104">
        <f t="shared" si="0"/>
        <v>1592</v>
      </c>
    </row>
    <row r="24" spans="1:15" x14ac:dyDescent="0.25">
      <c r="A24" s="14"/>
      <c r="B24" s="30" t="s">
        <v>63</v>
      </c>
      <c r="C24" s="108">
        <v>13675.2</v>
      </c>
      <c r="D24" s="108">
        <f>SUM(D22:D23)</f>
        <v>0</v>
      </c>
      <c r="E24" s="108">
        <f t="shared" si="0"/>
        <v>13675.2</v>
      </c>
    </row>
    <row r="25" spans="1:15" ht="14.25" customHeight="1" x14ac:dyDescent="0.25">
      <c r="A25" s="14" t="s">
        <v>65</v>
      </c>
      <c r="B25" s="24" t="s">
        <v>23</v>
      </c>
      <c r="C25" s="126">
        <v>3349</v>
      </c>
      <c r="D25" s="126">
        <v>219.31</v>
      </c>
      <c r="E25" s="126">
        <f t="shared" si="0"/>
        <v>3568.31</v>
      </c>
    </row>
    <row r="26" spans="1:15" x14ac:dyDescent="0.25">
      <c r="A26" s="14"/>
      <c r="B26" s="30" t="s">
        <v>67</v>
      </c>
      <c r="C26" s="108">
        <v>3349</v>
      </c>
      <c r="D26" s="108">
        <v>219.31</v>
      </c>
      <c r="E26" s="108">
        <f t="shared" si="0"/>
        <v>3568.31</v>
      </c>
    </row>
    <row r="27" spans="1:15" ht="14.25" customHeight="1" x14ac:dyDescent="0.25">
      <c r="A27" s="14" t="s">
        <v>68</v>
      </c>
      <c r="B27" s="52" t="s">
        <v>24</v>
      </c>
      <c r="C27" s="126">
        <v>3548</v>
      </c>
      <c r="D27" s="126">
        <v>1182.67</v>
      </c>
      <c r="E27" s="104">
        <f t="shared" si="0"/>
        <v>4730.67</v>
      </c>
    </row>
    <row r="28" spans="1:15" x14ac:dyDescent="0.25">
      <c r="A28" s="14"/>
      <c r="B28" s="30" t="s">
        <v>69</v>
      </c>
      <c r="C28" s="108">
        <v>3548</v>
      </c>
      <c r="D28" s="108">
        <v>1182.67</v>
      </c>
      <c r="E28" s="108">
        <v>4730.67</v>
      </c>
    </row>
    <row r="29" spans="1:15" x14ac:dyDescent="0.25">
      <c r="A29" s="17" t="s">
        <v>70</v>
      </c>
      <c r="B29" s="30" t="s">
        <v>26</v>
      </c>
      <c r="C29" s="127">
        <f>C24+C26+C28</f>
        <v>20572.2</v>
      </c>
      <c r="D29" s="127">
        <f>D24+D26+D28</f>
        <v>1401.98</v>
      </c>
      <c r="E29" s="127">
        <f>C29+D29</f>
        <v>21974.18</v>
      </c>
    </row>
    <row r="31" spans="1:15" x14ac:dyDescent="0.25">
      <c r="A31" s="2" t="s">
        <v>124</v>
      </c>
      <c r="B31" s="2"/>
      <c r="C31" s="2"/>
      <c r="D31" s="2"/>
      <c r="E31" s="2"/>
      <c r="F31" s="2"/>
      <c r="G31" s="2"/>
      <c r="H31" s="2"/>
      <c r="I31" s="2"/>
      <c r="J31" s="2"/>
    </row>
    <row r="32" spans="1:15" ht="15" customHeight="1" x14ac:dyDescent="0.25">
      <c r="A32" s="1" t="s">
        <v>105</v>
      </c>
      <c r="B32" s="1" t="s">
        <v>10</v>
      </c>
      <c r="C32" s="1" t="s">
        <v>11</v>
      </c>
      <c r="D32" s="1" t="s">
        <v>107</v>
      </c>
      <c r="E32" s="141" t="s">
        <v>108</v>
      </c>
      <c r="F32" s="141"/>
      <c r="G32" s="141"/>
      <c r="H32" s="141"/>
      <c r="I32" s="141"/>
      <c r="J32" s="142" t="s">
        <v>7</v>
      </c>
    </row>
    <row r="33" spans="1:10" ht="14.25" customHeight="1" x14ac:dyDescent="0.25">
      <c r="A33" s="1"/>
      <c r="B33" s="1"/>
      <c r="C33" s="1"/>
      <c r="D33" s="1"/>
      <c r="E33" s="143" t="s">
        <v>13</v>
      </c>
      <c r="F33" s="144" t="s">
        <v>109</v>
      </c>
      <c r="G33" s="144"/>
      <c r="H33" s="144" t="s">
        <v>15</v>
      </c>
      <c r="I33" s="144"/>
      <c r="J33" s="142"/>
    </row>
    <row r="34" spans="1:10" ht="14.25" customHeight="1" x14ac:dyDescent="0.25">
      <c r="A34" s="1"/>
      <c r="B34" s="1"/>
      <c r="C34" s="1"/>
      <c r="D34" s="1"/>
      <c r="E34" s="143"/>
      <c r="F34" s="144"/>
      <c r="G34" s="144"/>
      <c r="H34" s="144"/>
      <c r="I34" s="144"/>
      <c r="J34" s="142"/>
    </row>
    <row r="35" spans="1:10" ht="63.75" x14ac:dyDescent="0.25">
      <c r="A35" s="1"/>
      <c r="B35" s="1"/>
      <c r="C35" s="1"/>
      <c r="D35" s="1"/>
      <c r="E35" s="143"/>
      <c r="F35" s="113" t="s">
        <v>110</v>
      </c>
      <c r="G35" s="114" t="s">
        <v>111</v>
      </c>
      <c r="H35" s="113" t="s">
        <v>112</v>
      </c>
      <c r="I35" s="113" t="s">
        <v>80</v>
      </c>
      <c r="J35" s="142"/>
    </row>
    <row r="36" spans="1:10" x14ac:dyDescent="0.25">
      <c r="A36" s="115" t="s">
        <v>23</v>
      </c>
      <c r="B36" s="116">
        <v>2</v>
      </c>
      <c r="C36" s="117" t="s">
        <v>93</v>
      </c>
      <c r="D36" s="117" t="s">
        <v>94</v>
      </c>
      <c r="E36" s="119">
        <f t="shared" ref="E36:J36" si="1">SUM(H13,H15,H16)</f>
        <v>3940</v>
      </c>
      <c r="F36" s="119">
        <f t="shared" si="1"/>
        <v>3349</v>
      </c>
      <c r="G36" s="119">
        <f t="shared" si="1"/>
        <v>219.31</v>
      </c>
      <c r="H36" s="119">
        <f t="shared" si="1"/>
        <v>109.65</v>
      </c>
      <c r="I36" s="119">
        <f t="shared" si="1"/>
        <v>262.04000000000002</v>
      </c>
      <c r="J36" s="119">
        <f t="shared" si="1"/>
        <v>0</v>
      </c>
    </row>
    <row r="37" spans="1:10" ht="14.25" customHeight="1" x14ac:dyDescent="0.25">
      <c r="A37" s="145" t="s">
        <v>24</v>
      </c>
      <c r="B37" s="120" t="s">
        <v>88</v>
      </c>
      <c r="C37" s="120" t="s">
        <v>89</v>
      </c>
      <c r="D37" s="120" t="s">
        <v>91</v>
      </c>
      <c r="E37" s="119">
        <f t="shared" ref="E37:J37" si="2">SUM(H10,H11,H12)</f>
        <v>8883.56</v>
      </c>
      <c r="F37" s="119">
        <f t="shared" si="2"/>
        <v>3248.0017499999999</v>
      </c>
      <c r="G37" s="119">
        <f t="shared" si="2"/>
        <v>1082.66725</v>
      </c>
      <c r="H37" s="119">
        <f t="shared" si="2"/>
        <v>0</v>
      </c>
      <c r="I37" s="119">
        <f t="shared" si="2"/>
        <v>4552.8909999999996</v>
      </c>
      <c r="J37" s="119">
        <f t="shared" si="2"/>
        <v>0</v>
      </c>
    </row>
    <row r="38" spans="1:10" x14ac:dyDescent="0.25">
      <c r="A38" s="145"/>
      <c r="B38" s="120" t="s">
        <v>88</v>
      </c>
      <c r="C38" s="120" t="s">
        <v>89</v>
      </c>
      <c r="D38" s="120" t="s">
        <v>90</v>
      </c>
      <c r="E38" s="119">
        <f t="shared" ref="E38:J38" si="3">SUM(H9)</f>
        <v>500</v>
      </c>
      <c r="F38" s="119">
        <f t="shared" si="3"/>
        <v>300</v>
      </c>
      <c r="G38" s="119">
        <f t="shared" si="3"/>
        <v>100</v>
      </c>
      <c r="H38" s="119">
        <f t="shared" si="3"/>
        <v>0</v>
      </c>
      <c r="I38" s="119">
        <f t="shared" si="3"/>
        <v>100</v>
      </c>
      <c r="J38" s="119">
        <f t="shared" si="3"/>
        <v>0</v>
      </c>
    </row>
    <row r="39" spans="1:10" x14ac:dyDescent="0.25">
      <c r="A39" s="115" t="s">
        <v>22</v>
      </c>
      <c r="B39" s="121">
        <v>4</v>
      </c>
      <c r="C39" s="121" t="s">
        <v>82</v>
      </c>
      <c r="D39" s="122" t="s">
        <v>83</v>
      </c>
      <c r="E39" s="119">
        <f t="shared" ref="E39:J39" si="4">SUM(H6,H7,H8,H14)</f>
        <v>12719.154736842107</v>
      </c>
      <c r="F39" s="119">
        <f t="shared" si="4"/>
        <v>12083.197</v>
      </c>
      <c r="G39" s="119">
        <f t="shared" si="4"/>
        <v>0</v>
      </c>
      <c r="H39" s="119">
        <f t="shared" si="4"/>
        <v>594.1052631578948</v>
      </c>
      <c r="I39" s="119">
        <f t="shared" si="4"/>
        <v>41.85247368421053</v>
      </c>
      <c r="J39" s="119">
        <f t="shared" si="4"/>
        <v>0</v>
      </c>
    </row>
    <row r="40" spans="1:10" x14ac:dyDescent="0.25">
      <c r="A40" s="123" t="s">
        <v>25</v>
      </c>
      <c r="B40" s="52">
        <v>4</v>
      </c>
      <c r="C40" s="52"/>
      <c r="D40" s="124" t="s">
        <v>99</v>
      </c>
      <c r="E40" s="119">
        <f t="shared" ref="E40:J40" si="5">SUM(H17)</f>
        <v>0</v>
      </c>
      <c r="F40" s="119">
        <f t="shared" si="5"/>
        <v>0</v>
      </c>
      <c r="G40" s="119">
        <f t="shared" si="5"/>
        <v>0</v>
      </c>
      <c r="H40" s="119">
        <f t="shared" si="5"/>
        <v>0</v>
      </c>
      <c r="I40" s="119">
        <f t="shared" si="5"/>
        <v>0</v>
      </c>
      <c r="J40" s="119">
        <f t="shared" si="5"/>
        <v>0</v>
      </c>
    </row>
  </sheetData>
  <mergeCells count="32"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  <mergeCell ref="A10:A12"/>
    <mergeCell ref="A13:A16"/>
    <mergeCell ref="A18:E18"/>
    <mergeCell ref="A20:E20"/>
    <mergeCell ref="A22:A24"/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40"/>
  <sheetViews>
    <sheetView topLeftCell="B1" zoomScaleNormal="100" workbookViewId="0">
      <selection activeCell="H17" sqref="H17"/>
    </sheetView>
  </sheetViews>
  <sheetFormatPr defaultRowHeight="15" x14ac:dyDescent="0.25"/>
  <cols>
    <col min="1" max="1" width="20.140625" style="15" customWidth="1"/>
    <col min="2" max="2" width="12.7109375" style="15" customWidth="1"/>
    <col min="3" max="4" width="12.140625" style="15" customWidth="1"/>
    <col min="5" max="5" width="15" style="15" customWidth="1"/>
    <col min="6" max="6" width="12.140625" style="15" customWidth="1"/>
    <col min="7" max="7" width="10.7109375" style="15" customWidth="1"/>
    <col min="8" max="9" width="11.85546875" style="15" customWidth="1"/>
    <col min="10" max="10" width="11.42578125" style="15"/>
    <col min="11" max="11" width="13.5703125" style="15" customWidth="1"/>
    <col min="12" max="12" width="11.85546875" style="15" customWidth="1"/>
    <col min="13" max="14" width="9.140625" style="15" customWidth="1"/>
    <col min="15" max="15" width="9.85546875" style="15" customWidth="1"/>
    <col min="16" max="1025" width="9.140625" style="15" customWidth="1"/>
  </cols>
  <sheetData>
    <row r="1" spans="1:15" x14ac:dyDescent="0.25">
      <c r="A1" s="7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ht="14.2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6" t="s">
        <v>6</v>
      </c>
      <c r="I2" s="6"/>
      <c r="J2" s="6"/>
      <c r="K2" s="6"/>
      <c r="L2" s="6"/>
      <c r="M2" s="14" t="s">
        <v>7</v>
      </c>
    </row>
    <row r="3" spans="1:15" ht="14.25" customHeight="1" x14ac:dyDescent="0.25">
      <c r="A3" s="14"/>
      <c r="B3" s="14"/>
      <c r="C3" s="14"/>
      <c r="D3" s="14"/>
      <c r="E3" s="14"/>
      <c r="F3" s="14"/>
      <c r="G3" s="14"/>
      <c r="H3" s="6"/>
      <c r="I3" s="6"/>
      <c r="J3" s="6"/>
      <c r="K3" s="6"/>
      <c r="L3" s="6"/>
      <c r="M3" s="14"/>
    </row>
    <row r="4" spans="1:15" ht="14.2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5" t="s">
        <v>114</v>
      </c>
      <c r="I4" s="5" t="s">
        <v>14</v>
      </c>
      <c r="J4" s="5"/>
      <c r="K4" s="5" t="s">
        <v>15</v>
      </c>
      <c r="L4" s="5"/>
      <c r="M4" s="14"/>
    </row>
    <row r="5" spans="1:15" ht="55.5" customHeight="1" x14ac:dyDescent="0.25">
      <c r="A5" s="14"/>
      <c r="B5" s="14"/>
      <c r="C5" s="14"/>
      <c r="D5" s="12"/>
      <c r="E5" s="12"/>
      <c r="F5" s="12"/>
      <c r="G5" s="12"/>
      <c r="H5" s="5"/>
      <c r="I5" s="71" t="s">
        <v>77</v>
      </c>
      <c r="J5" s="71" t="s">
        <v>78</v>
      </c>
      <c r="K5" s="71" t="s">
        <v>79</v>
      </c>
      <c r="L5" s="71" t="s">
        <v>80</v>
      </c>
      <c r="M5" s="14"/>
    </row>
    <row r="6" spans="1:15" x14ac:dyDescent="0.25">
      <c r="A6" s="23" t="s">
        <v>27</v>
      </c>
      <c r="B6" s="24" t="s">
        <v>28</v>
      </c>
      <c r="C6" s="24"/>
      <c r="D6" s="25" t="s">
        <v>22</v>
      </c>
      <c r="E6" s="74">
        <v>4</v>
      </c>
      <c r="F6" s="75" t="s">
        <v>82</v>
      </c>
      <c r="G6" s="26" t="s">
        <v>83</v>
      </c>
      <c r="H6" s="104">
        <v>4724.21052631579</v>
      </c>
      <c r="I6" s="104">
        <v>4488</v>
      </c>
      <c r="J6" s="105">
        <v>0</v>
      </c>
      <c r="K6" s="105">
        <v>236.21052631578999</v>
      </c>
      <c r="L6" s="105">
        <v>0</v>
      </c>
      <c r="M6" s="104">
        <v>0</v>
      </c>
      <c r="O6" s="53"/>
    </row>
    <row r="7" spans="1:15" ht="14.25" customHeight="1" x14ac:dyDescent="0.25">
      <c r="A7" s="23" t="s">
        <v>31</v>
      </c>
      <c r="B7" s="24" t="s">
        <v>34</v>
      </c>
      <c r="C7" s="24"/>
      <c r="D7" s="25" t="s">
        <v>22</v>
      </c>
      <c r="E7" s="83">
        <v>4</v>
      </c>
      <c r="F7" s="84" t="s">
        <v>82</v>
      </c>
      <c r="G7" s="26" t="s">
        <v>83</v>
      </c>
      <c r="H7" s="104">
        <v>4210.5263157894697</v>
      </c>
      <c r="I7" s="104">
        <v>4000</v>
      </c>
      <c r="J7" s="105">
        <v>0</v>
      </c>
      <c r="K7" s="105">
        <v>210.52631578947401</v>
      </c>
      <c r="L7" s="105">
        <v>0</v>
      </c>
      <c r="M7" s="104">
        <v>0</v>
      </c>
      <c r="O7" s="53"/>
    </row>
    <row r="8" spans="1:15" ht="14.25" customHeight="1" x14ac:dyDescent="0.25">
      <c r="A8" s="23" t="s">
        <v>84</v>
      </c>
      <c r="B8" s="24" t="s">
        <v>85</v>
      </c>
      <c r="C8" s="24"/>
      <c r="D8" s="25" t="s">
        <v>22</v>
      </c>
      <c r="E8" s="125">
        <v>4</v>
      </c>
      <c r="F8" s="90" t="s">
        <v>82</v>
      </c>
      <c r="G8" s="88" t="s">
        <v>83</v>
      </c>
      <c r="H8" s="126">
        <v>631.57894736842104</v>
      </c>
      <c r="I8" s="126">
        <v>600</v>
      </c>
      <c r="J8" s="128">
        <v>0</v>
      </c>
      <c r="K8" s="128">
        <v>15.789473684210501</v>
      </c>
      <c r="L8" s="128">
        <v>15.789473684210501</v>
      </c>
      <c r="M8" s="104">
        <v>0</v>
      </c>
      <c r="O8" s="53"/>
    </row>
    <row r="9" spans="1:15" x14ac:dyDescent="0.25">
      <c r="A9" s="23" t="s">
        <v>86</v>
      </c>
      <c r="B9" s="24" t="s">
        <v>87</v>
      </c>
      <c r="C9" s="24"/>
      <c r="D9" s="25" t="s">
        <v>24</v>
      </c>
      <c r="E9" s="90" t="s">
        <v>88</v>
      </c>
      <c r="F9" s="90" t="s">
        <v>89</v>
      </c>
      <c r="G9" s="88" t="s">
        <v>90</v>
      </c>
      <c r="H9" s="126">
        <v>0</v>
      </c>
      <c r="I9" s="126">
        <v>0</v>
      </c>
      <c r="J9" s="128">
        <v>0</v>
      </c>
      <c r="K9" s="128">
        <v>0</v>
      </c>
      <c r="L9" s="128">
        <v>0</v>
      </c>
      <c r="M9" s="104">
        <v>0</v>
      </c>
      <c r="O9" s="53"/>
    </row>
    <row r="10" spans="1:15" ht="14.25" customHeight="1" x14ac:dyDescent="0.25">
      <c r="A10" s="10" t="s">
        <v>35</v>
      </c>
      <c r="B10" s="24" t="s">
        <v>36</v>
      </c>
      <c r="C10" s="24"/>
      <c r="D10" s="25" t="s">
        <v>24</v>
      </c>
      <c r="E10" s="90" t="s">
        <v>88</v>
      </c>
      <c r="F10" s="90" t="s">
        <v>89</v>
      </c>
      <c r="G10" s="88" t="s">
        <v>91</v>
      </c>
      <c r="H10" s="126">
        <v>4000</v>
      </c>
      <c r="I10" s="126">
        <v>1500</v>
      </c>
      <c r="J10" s="128">
        <v>500</v>
      </c>
      <c r="K10" s="128">
        <v>0</v>
      </c>
      <c r="L10" s="128">
        <v>2000</v>
      </c>
      <c r="M10" s="104">
        <v>0</v>
      </c>
      <c r="O10" s="53"/>
    </row>
    <row r="11" spans="1:15" x14ac:dyDescent="0.25">
      <c r="A11" s="10"/>
      <c r="B11" s="33" t="s">
        <v>39</v>
      </c>
      <c r="C11" s="33"/>
      <c r="D11" s="25" t="s">
        <v>24</v>
      </c>
      <c r="E11" s="90" t="s">
        <v>88</v>
      </c>
      <c r="F11" s="90" t="s">
        <v>89</v>
      </c>
      <c r="G11" s="88" t="s">
        <v>91</v>
      </c>
      <c r="H11" s="126">
        <v>0</v>
      </c>
      <c r="I11" s="126">
        <v>0</v>
      </c>
      <c r="J11" s="128">
        <v>0</v>
      </c>
      <c r="K11" s="128">
        <v>0</v>
      </c>
      <c r="L11" s="128">
        <v>0</v>
      </c>
      <c r="M11" s="104">
        <v>0</v>
      </c>
      <c r="O11" s="53"/>
    </row>
    <row r="12" spans="1:15" x14ac:dyDescent="0.25">
      <c r="A12" s="10"/>
      <c r="B12" s="33" t="s">
        <v>92</v>
      </c>
      <c r="C12" s="33"/>
      <c r="D12" s="25" t="s">
        <v>24</v>
      </c>
      <c r="E12" s="90" t="s">
        <v>88</v>
      </c>
      <c r="F12" s="90" t="s">
        <v>89</v>
      </c>
      <c r="G12" s="88" t="s">
        <v>91</v>
      </c>
      <c r="H12" s="85">
        <v>2222.2199999999998</v>
      </c>
      <c r="I12" s="85">
        <v>749.99924999999996</v>
      </c>
      <c r="J12" s="128">
        <v>249.99975000000001</v>
      </c>
      <c r="K12" s="128">
        <v>0</v>
      </c>
      <c r="L12" s="128">
        <v>1222.221</v>
      </c>
      <c r="M12" s="104">
        <v>0</v>
      </c>
      <c r="O12" s="53"/>
    </row>
    <row r="13" spans="1:15" ht="14.25" customHeight="1" x14ac:dyDescent="0.25">
      <c r="A13" s="10" t="s">
        <v>40</v>
      </c>
      <c r="B13" s="33" t="s">
        <v>41</v>
      </c>
      <c r="C13" s="33"/>
      <c r="D13" s="25" t="s">
        <v>37</v>
      </c>
      <c r="E13" s="125">
        <v>2</v>
      </c>
      <c r="F13" s="90" t="s">
        <v>93</v>
      </c>
      <c r="G13" s="88" t="s">
        <v>94</v>
      </c>
      <c r="H13" s="111">
        <v>6929.09</v>
      </c>
      <c r="I13" s="111">
        <v>5889.7269999999999</v>
      </c>
      <c r="J13" s="134">
        <v>491.36399999999998</v>
      </c>
      <c r="K13" s="134">
        <v>177.5</v>
      </c>
      <c r="L13" s="134">
        <v>370.5</v>
      </c>
      <c r="M13" s="104">
        <v>0</v>
      </c>
      <c r="O13" s="53"/>
    </row>
    <row r="14" spans="1:15" x14ac:dyDescent="0.25">
      <c r="A14" s="10"/>
      <c r="B14" s="33" t="s">
        <v>42</v>
      </c>
      <c r="C14" s="33"/>
      <c r="D14" s="25" t="s">
        <v>22</v>
      </c>
      <c r="E14" s="129">
        <v>4</v>
      </c>
      <c r="F14" s="130" t="s">
        <v>82</v>
      </c>
      <c r="G14" s="88" t="s">
        <v>83</v>
      </c>
      <c r="H14" s="126">
        <v>0</v>
      </c>
      <c r="I14" s="126">
        <v>0</v>
      </c>
      <c r="J14" s="128">
        <v>0</v>
      </c>
      <c r="K14" s="128">
        <v>0</v>
      </c>
      <c r="L14" s="128">
        <v>0</v>
      </c>
      <c r="M14" s="104">
        <v>0</v>
      </c>
      <c r="O14" s="53"/>
    </row>
    <row r="15" spans="1:15" x14ac:dyDescent="0.25">
      <c r="A15" s="10"/>
      <c r="B15" s="33" t="s">
        <v>96</v>
      </c>
      <c r="C15" s="33"/>
      <c r="D15" s="25" t="s">
        <v>37</v>
      </c>
      <c r="E15" s="125">
        <v>2</v>
      </c>
      <c r="F15" s="90" t="s">
        <v>93</v>
      </c>
      <c r="G15" s="88" t="s">
        <v>94</v>
      </c>
      <c r="H15" s="126">
        <v>1000</v>
      </c>
      <c r="I15" s="126">
        <v>850</v>
      </c>
      <c r="J15" s="128">
        <v>72.31</v>
      </c>
      <c r="K15" s="128">
        <v>36.15</v>
      </c>
      <c r="L15" s="128">
        <v>41.54</v>
      </c>
      <c r="M15" s="104">
        <v>0</v>
      </c>
      <c r="O15" s="53"/>
    </row>
    <row r="16" spans="1:15" s="100" customFormat="1" ht="14.25" hidden="1" x14ac:dyDescent="0.25">
      <c r="A16" s="10"/>
      <c r="B16" s="95"/>
      <c r="C16" s="95"/>
      <c r="D16" s="96"/>
      <c r="E16" s="96"/>
      <c r="F16" s="97"/>
      <c r="G16" s="97"/>
      <c r="H16" s="98"/>
      <c r="I16" s="98"/>
      <c r="J16" s="99"/>
      <c r="K16" s="99"/>
      <c r="L16" s="99"/>
      <c r="M16" s="98"/>
      <c r="O16" s="101"/>
    </row>
    <row r="17" spans="1:15" x14ac:dyDescent="0.25">
      <c r="A17" s="102" t="s">
        <v>43</v>
      </c>
      <c r="B17" s="103" t="s">
        <v>44</v>
      </c>
      <c r="C17" s="33"/>
      <c r="D17" s="25" t="s">
        <v>98</v>
      </c>
      <c r="E17" s="25">
        <v>4</v>
      </c>
      <c r="F17" s="25"/>
      <c r="G17" s="26" t="s">
        <v>99</v>
      </c>
      <c r="H17" s="135">
        <v>2352.9499999999998</v>
      </c>
      <c r="I17" s="111">
        <v>2000</v>
      </c>
      <c r="J17" s="134">
        <v>0</v>
      </c>
      <c r="K17" s="136">
        <v>352.95</v>
      </c>
      <c r="L17" s="134">
        <v>0</v>
      </c>
      <c r="M17" s="111">
        <v>0</v>
      </c>
      <c r="O17" s="53"/>
    </row>
    <row r="18" spans="1:15" ht="14.25" customHeight="1" x14ac:dyDescent="0.25">
      <c r="A18" s="9" t="s">
        <v>26</v>
      </c>
      <c r="B18" s="9"/>
      <c r="C18" s="9"/>
      <c r="D18" s="9"/>
      <c r="E18" s="9"/>
      <c r="F18" s="35"/>
      <c r="G18" s="30"/>
      <c r="H18" s="30"/>
      <c r="I18" s="30"/>
      <c r="J18" s="30"/>
      <c r="K18" s="30"/>
      <c r="L18" s="30"/>
      <c r="M18" s="30"/>
      <c r="O18" s="53"/>
    </row>
    <row r="20" spans="1:15" x14ac:dyDescent="0.25">
      <c r="A20" s="146" t="s">
        <v>126</v>
      </c>
      <c r="B20" s="146"/>
      <c r="C20" s="146"/>
      <c r="D20" s="146"/>
      <c r="E20" s="146"/>
    </row>
    <row r="21" spans="1:15" ht="42.75" x14ac:dyDescent="0.25">
      <c r="A21" s="17" t="s">
        <v>56</v>
      </c>
      <c r="B21" s="17" t="s">
        <v>9</v>
      </c>
      <c r="C21" s="70" t="s">
        <v>101</v>
      </c>
      <c r="D21" s="70" t="s">
        <v>102</v>
      </c>
      <c r="E21" s="70" t="s">
        <v>103</v>
      </c>
    </row>
    <row r="22" spans="1:15" ht="14.25" customHeight="1" x14ac:dyDescent="0.25">
      <c r="A22" s="14" t="s">
        <v>61</v>
      </c>
      <c r="B22" s="24" t="s">
        <v>22</v>
      </c>
      <c r="C22" s="104">
        <v>9088</v>
      </c>
      <c r="D22" s="104">
        <v>0</v>
      </c>
      <c r="E22" s="104">
        <f t="shared" ref="E22:E29" si="0">C22+D22</f>
        <v>9088</v>
      </c>
    </row>
    <row r="23" spans="1:15" x14ac:dyDescent="0.25">
      <c r="A23" s="14"/>
      <c r="B23" s="24" t="s">
        <v>25</v>
      </c>
      <c r="C23" s="104">
        <f>SUM((I17))</f>
        <v>2000</v>
      </c>
      <c r="D23" s="104">
        <v>0</v>
      </c>
      <c r="E23" s="104">
        <f t="shared" si="0"/>
        <v>2000</v>
      </c>
    </row>
    <row r="24" spans="1:15" x14ac:dyDescent="0.25">
      <c r="A24" s="14"/>
      <c r="B24" s="30" t="s">
        <v>63</v>
      </c>
      <c r="C24" s="108">
        <v>10088</v>
      </c>
      <c r="D24" s="108">
        <f>SUM(D22:D23)</f>
        <v>0</v>
      </c>
      <c r="E24" s="108">
        <f t="shared" si="0"/>
        <v>10088</v>
      </c>
    </row>
    <row r="25" spans="1:15" ht="14.25" customHeight="1" x14ac:dyDescent="0.25">
      <c r="A25" s="14" t="s">
        <v>65</v>
      </c>
      <c r="B25" s="137" t="s">
        <v>23</v>
      </c>
      <c r="C25" s="111">
        <f>H13+H15</f>
        <v>7929.09</v>
      </c>
      <c r="D25" s="111">
        <f>J13+J15</f>
        <v>563.67399999999998</v>
      </c>
      <c r="E25" s="111">
        <f t="shared" si="0"/>
        <v>8492.7639999999992</v>
      </c>
    </row>
    <row r="26" spans="1:15" x14ac:dyDescent="0.25">
      <c r="A26" s="14"/>
      <c r="B26" s="138" t="s">
        <v>67</v>
      </c>
      <c r="C26" s="111">
        <v>7929.09</v>
      </c>
      <c r="D26" s="111">
        <v>563.67399999999998</v>
      </c>
      <c r="E26" s="111">
        <f t="shared" si="0"/>
        <v>8492.7639999999992</v>
      </c>
    </row>
    <row r="27" spans="1:15" ht="14.25" customHeight="1" x14ac:dyDescent="0.25">
      <c r="A27" s="14" t="s">
        <v>68</v>
      </c>
      <c r="B27" s="52" t="s">
        <v>24</v>
      </c>
      <c r="C27" s="126">
        <v>2250</v>
      </c>
      <c r="D27" s="104">
        <v>750</v>
      </c>
      <c r="E27" s="104">
        <f t="shared" si="0"/>
        <v>3000</v>
      </c>
    </row>
    <row r="28" spans="1:15" x14ac:dyDescent="0.25">
      <c r="A28" s="14"/>
      <c r="B28" s="30" t="s">
        <v>69</v>
      </c>
      <c r="C28" s="108">
        <v>2250</v>
      </c>
      <c r="D28" s="108">
        <v>750</v>
      </c>
      <c r="E28" s="108">
        <f t="shared" si="0"/>
        <v>3000</v>
      </c>
    </row>
    <row r="29" spans="1:15" x14ac:dyDescent="0.25">
      <c r="A29" s="17" t="s">
        <v>70</v>
      </c>
      <c r="B29" s="138" t="s">
        <v>26</v>
      </c>
      <c r="C29" s="112">
        <f>C24+C26+C28</f>
        <v>20267.09</v>
      </c>
      <c r="D29" s="112">
        <f>D24+D26+D28</f>
        <v>1313.674</v>
      </c>
      <c r="E29" s="112">
        <f t="shared" si="0"/>
        <v>21580.763999999999</v>
      </c>
    </row>
    <row r="31" spans="1:15" x14ac:dyDescent="0.25">
      <c r="A31" s="2" t="s">
        <v>127</v>
      </c>
      <c r="B31" s="2"/>
      <c r="C31" s="2"/>
      <c r="D31" s="2"/>
      <c r="E31" s="2"/>
      <c r="F31" s="2"/>
      <c r="G31" s="2"/>
      <c r="H31" s="2"/>
      <c r="I31" s="2"/>
      <c r="J31" s="2"/>
    </row>
    <row r="32" spans="1:15" ht="15" customHeight="1" x14ac:dyDescent="0.25">
      <c r="A32" s="1" t="s">
        <v>105</v>
      </c>
      <c r="B32" s="1" t="s">
        <v>10</v>
      </c>
      <c r="C32" s="1" t="s">
        <v>11</v>
      </c>
      <c r="D32" s="1" t="s">
        <v>107</v>
      </c>
      <c r="E32" s="141" t="s">
        <v>108</v>
      </c>
      <c r="F32" s="141"/>
      <c r="G32" s="141"/>
      <c r="H32" s="141"/>
      <c r="I32" s="141"/>
      <c r="J32" s="142" t="s">
        <v>7</v>
      </c>
    </row>
    <row r="33" spans="1:10" ht="14.25" customHeight="1" x14ac:dyDescent="0.25">
      <c r="A33" s="1"/>
      <c r="B33" s="1"/>
      <c r="C33" s="1"/>
      <c r="D33" s="1"/>
      <c r="E33" s="143" t="s">
        <v>13</v>
      </c>
      <c r="F33" s="144" t="s">
        <v>109</v>
      </c>
      <c r="G33" s="144"/>
      <c r="H33" s="144" t="s">
        <v>15</v>
      </c>
      <c r="I33" s="144"/>
      <c r="J33" s="142"/>
    </row>
    <row r="34" spans="1:10" ht="14.25" customHeight="1" x14ac:dyDescent="0.25">
      <c r="A34" s="1"/>
      <c r="B34" s="1"/>
      <c r="C34" s="1"/>
      <c r="D34" s="1"/>
      <c r="E34" s="143"/>
      <c r="F34" s="144"/>
      <c r="G34" s="144"/>
      <c r="H34" s="144"/>
      <c r="I34" s="144"/>
      <c r="J34" s="142"/>
    </row>
    <row r="35" spans="1:10" ht="63.75" x14ac:dyDescent="0.25">
      <c r="A35" s="1"/>
      <c r="B35" s="1"/>
      <c r="C35" s="1"/>
      <c r="D35" s="1"/>
      <c r="E35" s="143"/>
      <c r="F35" s="113" t="s">
        <v>110</v>
      </c>
      <c r="G35" s="114" t="s">
        <v>111</v>
      </c>
      <c r="H35" s="113" t="s">
        <v>112</v>
      </c>
      <c r="I35" s="113" t="s">
        <v>80</v>
      </c>
      <c r="J35" s="142"/>
    </row>
    <row r="36" spans="1:10" x14ac:dyDescent="0.25">
      <c r="A36" s="115" t="s">
        <v>23</v>
      </c>
      <c r="B36" s="116">
        <v>2</v>
      </c>
      <c r="C36" s="117" t="s">
        <v>93</v>
      </c>
      <c r="D36" s="117" t="s">
        <v>94</v>
      </c>
      <c r="E36" s="118">
        <f t="shared" ref="E36:J36" si="1">SUM(H13,H15,H16)</f>
        <v>7929.09</v>
      </c>
      <c r="F36" s="118">
        <f t="shared" si="1"/>
        <v>6739.7269999999999</v>
      </c>
      <c r="G36" s="118">
        <f t="shared" si="1"/>
        <v>563.67399999999998</v>
      </c>
      <c r="H36" s="118">
        <f t="shared" si="1"/>
        <v>213.65</v>
      </c>
      <c r="I36" s="118">
        <f t="shared" si="1"/>
        <v>412.04</v>
      </c>
      <c r="J36" s="119">
        <f t="shared" si="1"/>
        <v>0</v>
      </c>
    </row>
    <row r="37" spans="1:10" ht="14.25" customHeight="1" x14ac:dyDescent="0.25">
      <c r="A37" s="145" t="s">
        <v>24</v>
      </c>
      <c r="B37" s="120" t="s">
        <v>88</v>
      </c>
      <c r="C37" s="120" t="s">
        <v>89</v>
      </c>
      <c r="D37" s="120" t="s">
        <v>91</v>
      </c>
      <c r="E37" s="119">
        <f t="shared" ref="E37:J37" si="2">SUM(H10,H11,H12)</f>
        <v>6222.2199999999993</v>
      </c>
      <c r="F37" s="119">
        <f t="shared" si="2"/>
        <v>2249.9992499999998</v>
      </c>
      <c r="G37" s="119">
        <f t="shared" si="2"/>
        <v>749.99974999999995</v>
      </c>
      <c r="H37" s="119">
        <f t="shared" si="2"/>
        <v>0</v>
      </c>
      <c r="I37" s="119">
        <f t="shared" si="2"/>
        <v>3222.221</v>
      </c>
      <c r="J37" s="119">
        <f t="shared" si="2"/>
        <v>0</v>
      </c>
    </row>
    <row r="38" spans="1:10" x14ac:dyDescent="0.25">
      <c r="A38" s="145"/>
      <c r="B38" s="120" t="s">
        <v>88</v>
      </c>
      <c r="C38" s="120" t="s">
        <v>89</v>
      </c>
      <c r="D38" s="120" t="s">
        <v>90</v>
      </c>
      <c r="E38" s="119">
        <f t="shared" ref="E38:J38" si="3">SUM(H9)</f>
        <v>0</v>
      </c>
      <c r="F38" s="119">
        <f t="shared" si="3"/>
        <v>0</v>
      </c>
      <c r="G38" s="119">
        <f t="shared" si="3"/>
        <v>0</v>
      </c>
      <c r="H38" s="119">
        <f t="shared" si="3"/>
        <v>0</v>
      </c>
      <c r="I38" s="119">
        <f t="shared" si="3"/>
        <v>0</v>
      </c>
      <c r="J38" s="119">
        <f t="shared" si="3"/>
        <v>0</v>
      </c>
    </row>
    <row r="39" spans="1:10" x14ac:dyDescent="0.25">
      <c r="A39" s="115" t="s">
        <v>22</v>
      </c>
      <c r="B39" s="121">
        <v>4</v>
      </c>
      <c r="C39" s="121" t="s">
        <v>82</v>
      </c>
      <c r="D39" s="122" t="s">
        <v>83</v>
      </c>
      <c r="E39" s="119">
        <f t="shared" ref="E39:J39" si="4">SUM(H6,H7,H8,H14)</f>
        <v>9566.3157894736814</v>
      </c>
      <c r="F39" s="119">
        <f t="shared" si="4"/>
        <v>9088</v>
      </c>
      <c r="G39" s="119">
        <f t="shared" si="4"/>
        <v>0</v>
      </c>
      <c r="H39" s="119">
        <f t="shared" si="4"/>
        <v>462.52631578947455</v>
      </c>
      <c r="I39" s="119">
        <f t="shared" si="4"/>
        <v>15.789473684210501</v>
      </c>
      <c r="J39" s="119">
        <f t="shared" si="4"/>
        <v>0</v>
      </c>
    </row>
    <row r="40" spans="1:10" x14ac:dyDescent="0.25">
      <c r="A40" s="123" t="s">
        <v>25</v>
      </c>
      <c r="B40" s="52">
        <v>4</v>
      </c>
      <c r="C40" s="52"/>
      <c r="D40" s="124" t="s">
        <v>99</v>
      </c>
      <c r="E40" s="119">
        <f t="shared" ref="E40:J40" si="5">SUM(H17)</f>
        <v>2352.9499999999998</v>
      </c>
      <c r="F40" s="119">
        <f t="shared" si="5"/>
        <v>2000</v>
      </c>
      <c r="G40" s="119">
        <f t="shared" si="5"/>
        <v>0</v>
      </c>
      <c r="H40" s="119">
        <f t="shared" si="5"/>
        <v>352.95</v>
      </c>
      <c r="I40" s="119">
        <f t="shared" si="5"/>
        <v>0</v>
      </c>
      <c r="J40" s="119">
        <f t="shared" si="5"/>
        <v>0</v>
      </c>
    </row>
  </sheetData>
  <mergeCells count="32"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  <mergeCell ref="A10:A12"/>
    <mergeCell ref="A13:A16"/>
    <mergeCell ref="A18:E18"/>
    <mergeCell ref="A20:E20"/>
    <mergeCell ref="A22:A24"/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40"/>
  <sheetViews>
    <sheetView topLeftCell="A4" zoomScaleNormal="100" workbookViewId="0">
      <selection activeCell="B29" sqref="B29"/>
    </sheetView>
  </sheetViews>
  <sheetFormatPr defaultRowHeight="15" x14ac:dyDescent="0.25"/>
  <cols>
    <col min="1" max="1" width="20.140625" style="15" customWidth="1"/>
    <col min="2" max="2" width="12.7109375" style="15" customWidth="1"/>
    <col min="3" max="4" width="12.140625" style="15" customWidth="1"/>
    <col min="5" max="5" width="15" style="15" customWidth="1"/>
    <col min="6" max="6" width="12.140625" style="15" customWidth="1"/>
    <col min="7" max="7" width="10.7109375" style="15" customWidth="1"/>
    <col min="8" max="9" width="11.85546875" style="15" customWidth="1"/>
    <col min="10" max="10" width="11.42578125" style="15"/>
    <col min="11" max="11" width="13.5703125" style="15" customWidth="1"/>
    <col min="12" max="12" width="11.85546875" style="15" customWidth="1"/>
    <col min="13" max="14" width="9.140625" style="15" customWidth="1"/>
    <col min="15" max="15" width="9.85546875" style="15" customWidth="1"/>
    <col min="16" max="1025" width="9.140625" style="15" customWidth="1"/>
  </cols>
  <sheetData>
    <row r="1" spans="1:15" x14ac:dyDescent="0.25">
      <c r="A1" s="7" t="s">
        <v>128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ht="14.2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6" t="s">
        <v>6</v>
      </c>
      <c r="I2" s="6"/>
      <c r="J2" s="6"/>
      <c r="K2" s="6"/>
      <c r="L2" s="6"/>
      <c r="M2" s="14" t="s">
        <v>7</v>
      </c>
    </row>
    <row r="3" spans="1:15" ht="14.25" customHeight="1" x14ac:dyDescent="0.25">
      <c r="A3" s="14"/>
      <c r="B3" s="14"/>
      <c r="C3" s="14"/>
      <c r="D3" s="14"/>
      <c r="E3" s="14"/>
      <c r="F3" s="14"/>
      <c r="G3" s="14"/>
      <c r="H3" s="6"/>
      <c r="I3" s="6"/>
      <c r="J3" s="6"/>
      <c r="K3" s="6"/>
      <c r="L3" s="6"/>
      <c r="M3" s="14"/>
    </row>
    <row r="4" spans="1:15" ht="14.2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5" t="s">
        <v>114</v>
      </c>
      <c r="I4" s="5" t="s">
        <v>14</v>
      </c>
      <c r="J4" s="5"/>
      <c r="K4" s="5" t="s">
        <v>15</v>
      </c>
      <c r="L4" s="5"/>
      <c r="M4" s="14"/>
    </row>
    <row r="5" spans="1:15" ht="55.5" customHeight="1" x14ac:dyDescent="0.25">
      <c r="A5" s="14"/>
      <c r="B5" s="14"/>
      <c r="C5" s="14"/>
      <c r="D5" s="12"/>
      <c r="E5" s="12"/>
      <c r="F5" s="12"/>
      <c r="G5" s="12"/>
      <c r="H5" s="5"/>
      <c r="I5" s="71" t="s">
        <v>77</v>
      </c>
      <c r="J5" s="71" t="s">
        <v>78</v>
      </c>
      <c r="K5" s="71" t="s">
        <v>79</v>
      </c>
      <c r="L5" s="71" t="s">
        <v>80</v>
      </c>
      <c r="M5" s="14"/>
    </row>
    <row r="6" spans="1:15" x14ac:dyDescent="0.25">
      <c r="A6" s="23" t="s">
        <v>27</v>
      </c>
      <c r="B6" s="24" t="s">
        <v>28</v>
      </c>
      <c r="C6" s="24"/>
      <c r="D6" s="25" t="s">
        <v>22</v>
      </c>
      <c r="E6" s="74">
        <v>4</v>
      </c>
      <c r="F6" s="75" t="s">
        <v>82</v>
      </c>
      <c r="G6" s="26" t="s">
        <v>83</v>
      </c>
      <c r="H6" s="126">
        <f>I6/0.95</f>
        <v>4210.5263157894742</v>
      </c>
      <c r="I6" s="126">
        <v>4000</v>
      </c>
      <c r="J6" s="128">
        <v>0</v>
      </c>
      <c r="K6" s="128">
        <f>H6*0.05</f>
        <v>210.52631578947373</v>
      </c>
      <c r="L6" s="105">
        <v>0</v>
      </c>
      <c r="M6" s="104">
        <v>0</v>
      </c>
      <c r="O6" s="53"/>
    </row>
    <row r="7" spans="1:15" ht="14.25" customHeight="1" x14ac:dyDescent="0.25">
      <c r="A7" s="23" t="s">
        <v>31</v>
      </c>
      <c r="B7" s="24" t="s">
        <v>34</v>
      </c>
      <c r="C7" s="24"/>
      <c r="D7" s="25" t="s">
        <v>22</v>
      </c>
      <c r="E7" s="83">
        <v>4</v>
      </c>
      <c r="F7" s="84" t="s">
        <v>82</v>
      </c>
      <c r="G7" s="26" t="s">
        <v>83</v>
      </c>
      <c r="H7" s="126">
        <f>I7/0.95</f>
        <v>3157.8947368421054</v>
      </c>
      <c r="I7" s="126">
        <v>3000</v>
      </c>
      <c r="J7" s="128">
        <v>0</v>
      </c>
      <c r="K7" s="128">
        <f>H7*0.05</f>
        <v>157.89473684210529</v>
      </c>
      <c r="L7" s="105">
        <v>0</v>
      </c>
      <c r="M7" s="104">
        <v>0</v>
      </c>
      <c r="O7" s="53"/>
    </row>
    <row r="8" spans="1:15" ht="14.25" customHeight="1" x14ac:dyDescent="0.25">
      <c r="A8" s="23" t="s">
        <v>84</v>
      </c>
      <c r="B8" s="24" t="s">
        <v>85</v>
      </c>
      <c r="C8" s="24"/>
      <c r="D8" s="25" t="s">
        <v>22</v>
      </c>
      <c r="E8" s="125">
        <v>4</v>
      </c>
      <c r="F8" s="90" t="s">
        <v>82</v>
      </c>
      <c r="G8" s="88" t="s">
        <v>83</v>
      </c>
      <c r="H8" s="126">
        <v>724.22</v>
      </c>
      <c r="I8" s="126">
        <v>688</v>
      </c>
      <c r="J8" s="128">
        <v>0</v>
      </c>
      <c r="K8" s="128">
        <v>18.11</v>
      </c>
      <c r="L8" s="128">
        <v>18.11</v>
      </c>
      <c r="M8" s="104">
        <v>0</v>
      </c>
      <c r="O8" s="53"/>
    </row>
    <row r="9" spans="1:15" x14ac:dyDescent="0.25">
      <c r="A9" s="23" t="s">
        <v>86</v>
      </c>
      <c r="B9" s="24" t="s">
        <v>87</v>
      </c>
      <c r="C9" s="24"/>
      <c r="D9" s="25" t="s">
        <v>24</v>
      </c>
      <c r="E9" s="90" t="s">
        <v>88</v>
      </c>
      <c r="F9" s="90" t="s">
        <v>89</v>
      </c>
      <c r="G9" s="88" t="s">
        <v>90</v>
      </c>
      <c r="H9" s="126">
        <v>488.34</v>
      </c>
      <c r="I9" s="126">
        <f>H9*0.8*0.75</f>
        <v>293.00400000000002</v>
      </c>
      <c r="J9" s="128">
        <v>97.67</v>
      </c>
      <c r="K9" s="128">
        <v>0</v>
      </c>
      <c r="L9" s="128">
        <f>H9*0.2</f>
        <v>97.668000000000006</v>
      </c>
      <c r="M9" s="104">
        <v>0</v>
      </c>
      <c r="O9" s="53"/>
    </row>
    <row r="10" spans="1:15" ht="14.25" customHeight="1" x14ac:dyDescent="0.25">
      <c r="A10" s="10" t="s">
        <v>35</v>
      </c>
      <c r="B10" s="24" t="s">
        <v>36</v>
      </c>
      <c r="C10" s="24"/>
      <c r="D10" s="25" t="s">
        <v>24</v>
      </c>
      <c r="E10" s="90" t="s">
        <v>88</v>
      </c>
      <c r="F10" s="90" t="s">
        <v>89</v>
      </c>
      <c r="G10" s="88" t="s">
        <v>91</v>
      </c>
      <c r="H10" s="126">
        <v>4000</v>
      </c>
      <c r="I10" s="126">
        <f>H10*0.5*0.75</f>
        <v>1500</v>
      </c>
      <c r="J10" s="128">
        <f>H10*0.5*0.25</f>
        <v>500</v>
      </c>
      <c r="K10" s="128">
        <v>0</v>
      </c>
      <c r="L10" s="128">
        <f>H10*0.5</f>
        <v>2000</v>
      </c>
      <c r="M10" s="104">
        <v>0</v>
      </c>
      <c r="O10" s="53"/>
    </row>
    <row r="11" spans="1:15" x14ac:dyDescent="0.25">
      <c r="A11" s="10"/>
      <c r="B11" s="33" t="s">
        <v>39</v>
      </c>
      <c r="C11" s="33"/>
      <c r="D11" s="25" t="s">
        <v>24</v>
      </c>
      <c r="E11" s="90" t="s">
        <v>88</v>
      </c>
      <c r="F11" s="90" t="s">
        <v>89</v>
      </c>
      <c r="G11" s="88" t="s">
        <v>91</v>
      </c>
      <c r="H11" s="126">
        <v>0</v>
      </c>
      <c r="I11" s="126">
        <f>H11*0.5*0.75</f>
        <v>0</v>
      </c>
      <c r="J11" s="128">
        <f>H11*0.5*0.25</f>
        <v>0</v>
      </c>
      <c r="K11" s="128">
        <v>0</v>
      </c>
      <c r="L11" s="128">
        <f>H11*0.5</f>
        <v>0</v>
      </c>
      <c r="M11" s="104">
        <v>0</v>
      </c>
      <c r="O11" s="53"/>
    </row>
    <row r="12" spans="1:15" x14ac:dyDescent="0.25">
      <c r="A12" s="10"/>
      <c r="B12" s="33" t="s">
        <v>92</v>
      </c>
      <c r="C12" s="33"/>
      <c r="D12" s="25" t="s">
        <v>24</v>
      </c>
      <c r="E12" s="90" t="s">
        <v>88</v>
      </c>
      <c r="F12" s="90" t="s">
        <v>89</v>
      </c>
      <c r="G12" s="88" t="s">
        <v>91</v>
      </c>
      <c r="H12" s="85">
        <v>2530.37</v>
      </c>
      <c r="I12" s="85">
        <v>854</v>
      </c>
      <c r="J12" s="128">
        <v>284.67</v>
      </c>
      <c r="K12" s="128">
        <v>0</v>
      </c>
      <c r="L12" s="128">
        <v>1391.7</v>
      </c>
      <c r="M12" s="104">
        <v>0</v>
      </c>
      <c r="O12" s="53"/>
    </row>
    <row r="13" spans="1:15" ht="14.25" customHeight="1" x14ac:dyDescent="0.25">
      <c r="A13" s="10" t="s">
        <v>40</v>
      </c>
      <c r="B13" s="33" t="s">
        <v>41</v>
      </c>
      <c r="C13" s="33"/>
      <c r="D13" s="25" t="s">
        <v>37</v>
      </c>
      <c r="E13" s="125">
        <v>2</v>
      </c>
      <c r="F13" s="90" t="s">
        <v>93</v>
      </c>
      <c r="G13" s="88" t="s">
        <v>94</v>
      </c>
      <c r="H13" s="111">
        <f>2940+12830.91</f>
        <v>15770.91</v>
      </c>
      <c r="I13" s="111">
        <f>2499+10906.274</f>
        <v>13405.273999999999</v>
      </c>
      <c r="J13" s="134">
        <f>147+1162.637</f>
        <v>1309.6369999999999</v>
      </c>
      <c r="K13" s="134">
        <f>73.5+312</f>
        <v>385.5</v>
      </c>
      <c r="L13" s="134">
        <f>220.5+450</f>
        <v>670.5</v>
      </c>
      <c r="M13" s="104">
        <v>0</v>
      </c>
      <c r="O13" s="53"/>
    </row>
    <row r="14" spans="1:15" x14ac:dyDescent="0.25">
      <c r="A14" s="10"/>
      <c r="B14" s="33" t="s">
        <v>42</v>
      </c>
      <c r="C14" s="33"/>
      <c r="D14" s="25" t="s">
        <v>22</v>
      </c>
      <c r="E14" s="129">
        <v>4</v>
      </c>
      <c r="F14" s="130" t="s">
        <v>82</v>
      </c>
      <c r="G14" s="88" t="s">
        <v>83</v>
      </c>
      <c r="H14" s="126">
        <v>0</v>
      </c>
      <c r="I14" s="126">
        <f>H14*0.95</f>
        <v>0</v>
      </c>
      <c r="J14" s="128">
        <v>0</v>
      </c>
      <c r="K14" s="128">
        <v>0</v>
      </c>
      <c r="L14" s="128">
        <f>H14*0.05</f>
        <v>0</v>
      </c>
      <c r="M14" s="104">
        <v>0</v>
      </c>
      <c r="O14" s="53"/>
    </row>
    <row r="15" spans="1:15" x14ac:dyDescent="0.25">
      <c r="A15" s="10"/>
      <c r="B15" s="33" t="s">
        <v>96</v>
      </c>
      <c r="C15" s="33"/>
      <c r="D15" s="25" t="s">
        <v>37</v>
      </c>
      <c r="E15" s="125">
        <v>2</v>
      </c>
      <c r="F15" s="90" t="s">
        <v>93</v>
      </c>
      <c r="G15" s="88" t="s">
        <v>94</v>
      </c>
      <c r="H15" s="111">
        <f>1000+2133</f>
        <v>3133</v>
      </c>
      <c r="I15" s="111">
        <f>850+1813.05</f>
        <v>2663.05</v>
      </c>
      <c r="J15" s="134">
        <f>72.31+319.95</f>
        <v>392.26</v>
      </c>
      <c r="K15" s="128">
        <v>36.15</v>
      </c>
      <c r="L15" s="128">
        <v>41.54</v>
      </c>
      <c r="M15" s="104">
        <v>0</v>
      </c>
      <c r="O15" s="53"/>
    </row>
    <row r="16" spans="1:15" s="100" customFormat="1" ht="14.25" hidden="1" x14ac:dyDescent="0.25">
      <c r="A16" s="10"/>
      <c r="B16" s="95" t="s">
        <v>97</v>
      </c>
      <c r="C16" s="95"/>
      <c r="D16" s="96" t="s">
        <v>37</v>
      </c>
      <c r="E16" s="96">
        <v>2</v>
      </c>
      <c r="F16" s="97" t="s">
        <v>93</v>
      </c>
      <c r="G16" s="97" t="s">
        <v>94</v>
      </c>
      <c r="H16" s="98">
        <v>0</v>
      </c>
      <c r="I16" s="98">
        <v>0</v>
      </c>
      <c r="J16" s="99">
        <v>0</v>
      </c>
      <c r="K16" s="99">
        <v>0</v>
      </c>
      <c r="L16" s="99">
        <f>H16*0.15</f>
        <v>0</v>
      </c>
      <c r="M16" s="98">
        <v>0</v>
      </c>
      <c r="O16" s="101"/>
    </row>
    <row r="17" spans="1:15" x14ac:dyDescent="0.25">
      <c r="A17" s="102" t="s">
        <v>43</v>
      </c>
      <c r="B17" s="103" t="s">
        <v>44</v>
      </c>
      <c r="C17" s="33"/>
      <c r="D17" s="25" t="s">
        <v>98</v>
      </c>
      <c r="E17" s="25">
        <v>4</v>
      </c>
      <c r="F17" s="25"/>
      <c r="G17" s="26" t="s">
        <v>99</v>
      </c>
      <c r="H17" s="111">
        <f>I17/0.85</f>
        <v>762.35294117647061</v>
      </c>
      <c r="I17" s="111">
        <v>648</v>
      </c>
      <c r="J17" s="134">
        <v>0</v>
      </c>
      <c r="K17" s="134">
        <f>H17*0.15</f>
        <v>114.35294117647059</v>
      </c>
      <c r="L17" s="134">
        <v>0</v>
      </c>
      <c r="M17" s="111">
        <v>0</v>
      </c>
      <c r="O17" s="53"/>
    </row>
    <row r="18" spans="1:15" ht="14.25" customHeight="1" x14ac:dyDescent="0.25">
      <c r="A18" s="9" t="s">
        <v>26</v>
      </c>
      <c r="B18" s="9"/>
      <c r="C18" s="9"/>
      <c r="D18" s="9"/>
      <c r="E18" s="9"/>
      <c r="F18" s="35"/>
      <c r="G18" s="30"/>
      <c r="H18" s="30"/>
      <c r="I18" s="30"/>
      <c r="J18" s="30"/>
      <c r="K18" s="30"/>
      <c r="L18" s="30"/>
      <c r="M18" s="30"/>
      <c r="O18" s="53"/>
    </row>
    <row r="20" spans="1:15" x14ac:dyDescent="0.25">
      <c r="A20" s="146" t="s">
        <v>129</v>
      </c>
      <c r="B20" s="146"/>
      <c r="C20" s="146"/>
      <c r="D20" s="146"/>
      <c r="E20" s="146"/>
    </row>
    <row r="21" spans="1:15" ht="42.75" x14ac:dyDescent="0.25">
      <c r="A21" s="17" t="s">
        <v>56</v>
      </c>
      <c r="B21" s="17" t="s">
        <v>9</v>
      </c>
      <c r="C21" s="70" t="s">
        <v>101</v>
      </c>
      <c r="D21" s="70" t="s">
        <v>102</v>
      </c>
      <c r="E21" s="70" t="s">
        <v>103</v>
      </c>
    </row>
    <row r="22" spans="1:15" ht="14.25" customHeight="1" x14ac:dyDescent="0.25">
      <c r="A22" s="14" t="s">
        <v>61</v>
      </c>
      <c r="B22" s="24" t="s">
        <v>22</v>
      </c>
      <c r="C22" s="104">
        <v>7688</v>
      </c>
      <c r="D22" s="104">
        <v>0</v>
      </c>
      <c r="E22" s="104">
        <f>C22+D22</f>
        <v>7688</v>
      </c>
    </row>
    <row r="23" spans="1:15" x14ac:dyDescent="0.25">
      <c r="A23" s="14"/>
      <c r="B23" s="24" t="s">
        <v>25</v>
      </c>
      <c r="C23" s="104">
        <f>SUM((I17))</f>
        <v>648</v>
      </c>
      <c r="D23" s="104">
        <v>0</v>
      </c>
      <c r="E23" s="104">
        <f>C23+D23</f>
        <v>648</v>
      </c>
    </row>
    <row r="24" spans="1:15" x14ac:dyDescent="0.25">
      <c r="A24" s="14"/>
      <c r="B24" s="30" t="s">
        <v>63</v>
      </c>
      <c r="C24" s="110">
        <v>8688</v>
      </c>
      <c r="D24" s="110">
        <f>SUM(D22:D23)</f>
        <v>0</v>
      </c>
      <c r="E24" s="110">
        <f>C24+D24</f>
        <v>8688</v>
      </c>
    </row>
    <row r="25" spans="1:15" ht="14.25" customHeight="1" x14ac:dyDescent="0.25">
      <c r="A25" s="14" t="s">
        <v>65</v>
      </c>
      <c r="B25" s="137" t="s">
        <v>23</v>
      </c>
      <c r="C25" s="111">
        <f>I13+I15</f>
        <v>16068.324000000001</v>
      </c>
      <c r="D25" s="111">
        <f>J13+J15</f>
        <v>1701.8969999999999</v>
      </c>
      <c r="E25" s="111">
        <f>C25+D25</f>
        <v>17770.221000000001</v>
      </c>
    </row>
    <row r="26" spans="1:15" x14ac:dyDescent="0.25">
      <c r="A26" s="14"/>
      <c r="B26" s="138" t="s">
        <v>67</v>
      </c>
      <c r="C26" s="111">
        <v>16068.324000000001</v>
      </c>
      <c r="D26" s="111">
        <v>1701.8969999999999</v>
      </c>
      <c r="E26" s="111">
        <f>C26+D26</f>
        <v>17770.221000000001</v>
      </c>
    </row>
    <row r="27" spans="1:15" ht="14.25" customHeight="1" x14ac:dyDescent="0.25">
      <c r="A27" s="14" t="s">
        <v>68</v>
      </c>
      <c r="B27" s="52" t="s">
        <v>24</v>
      </c>
      <c r="C27" s="126">
        <v>2647</v>
      </c>
      <c r="D27" s="104">
        <v>882.34</v>
      </c>
      <c r="E27" s="104">
        <v>3529.34</v>
      </c>
    </row>
    <row r="28" spans="1:15" x14ac:dyDescent="0.25">
      <c r="A28" s="14"/>
      <c r="B28" s="30" t="s">
        <v>69</v>
      </c>
      <c r="C28" s="108">
        <v>2647</v>
      </c>
      <c r="D28" s="108">
        <v>882.34</v>
      </c>
      <c r="E28" s="108">
        <v>3529.34</v>
      </c>
    </row>
    <row r="29" spans="1:15" x14ac:dyDescent="0.25">
      <c r="A29" s="17" t="s">
        <v>70</v>
      </c>
      <c r="B29" s="138" t="s">
        <v>26</v>
      </c>
      <c r="C29" s="112">
        <f>C24+C26+C28</f>
        <v>27403.324000000001</v>
      </c>
      <c r="D29" s="112">
        <f>D24+D26+D28</f>
        <v>2584.2370000000001</v>
      </c>
      <c r="E29" s="112">
        <f>E24+E26+E28</f>
        <v>29987.561000000002</v>
      </c>
    </row>
    <row r="31" spans="1:15" x14ac:dyDescent="0.25">
      <c r="A31" s="2" t="s">
        <v>130</v>
      </c>
      <c r="B31" s="2"/>
      <c r="C31" s="2"/>
      <c r="D31" s="2"/>
      <c r="E31" s="2"/>
      <c r="F31" s="2"/>
      <c r="G31" s="2"/>
      <c r="H31" s="2"/>
      <c r="I31" s="2"/>
      <c r="J31" s="2"/>
    </row>
    <row r="32" spans="1:15" ht="15" customHeight="1" x14ac:dyDescent="0.25">
      <c r="A32" s="1" t="s">
        <v>105</v>
      </c>
      <c r="B32" s="1" t="s">
        <v>10</v>
      </c>
      <c r="C32" s="1" t="s">
        <v>11</v>
      </c>
      <c r="D32" s="1" t="s">
        <v>107</v>
      </c>
      <c r="E32" s="141" t="s">
        <v>108</v>
      </c>
      <c r="F32" s="141"/>
      <c r="G32" s="141"/>
      <c r="H32" s="141"/>
      <c r="I32" s="141"/>
      <c r="J32" s="142" t="s">
        <v>7</v>
      </c>
    </row>
    <row r="33" spans="1:10" ht="14.25" customHeight="1" x14ac:dyDescent="0.25">
      <c r="A33" s="1"/>
      <c r="B33" s="1"/>
      <c r="C33" s="1"/>
      <c r="D33" s="1"/>
      <c r="E33" s="143" t="s">
        <v>13</v>
      </c>
      <c r="F33" s="144" t="s">
        <v>109</v>
      </c>
      <c r="G33" s="144"/>
      <c r="H33" s="144" t="s">
        <v>15</v>
      </c>
      <c r="I33" s="144"/>
      <c r="J33" s="142"/>
    </row>
    <row r="34" spans="1:10" ht="14.25" customHeight="1" x14ac:dyDescent="0.25">
      <c r="A34" s="1"/>
      <c r="B34" s="1"/>
      <c r="C34" s="1"/>
      <c r="D34" s="1"/>
      <c r="E34" s="143"/>
      <c r="F34" s="144"/>
      <c r="G34" s="144"/>
      <c r="H34" s="144"/>
      <c r="I34" s="144"/>
      <c r="J34" s="142"/>
    </row>
    <row r="35" spans="1:10" ht="63.75" x14ac:dyDescent="0.25">
      <c r="A35" s="1"/>
      <c r="B35" s="1"/>
      <c r="C35" s="1"/>
      <c r="D35" s="1"/>
      <c r="E35" s="143"/>
      <c r="F35" s="113" t="s">
        <v>110</v>
      </c>
      <c r="G35" s="114" t="s">
        <v>111</v>
      </c>
      <c r="H35" s="113" t="s">
        <v>112</v>
      </c>
      <c r="I35" s="113" t="s">
        <v>80</v>
      </c>
      <c r="J35" s="142"/>
    </row>
    <row r="36" spans="1:10" x14ac:dyDescent="0.25">
      <c r="A36" s="115" t="s">
        <v>23</v>
      </c>
      <c r="B36" s="116">
        <v>2</v>
      </c>
      <c r="C36" s="117" t="s">
        <v>93</v>
      </c>
      <c r="D36" s="117" t="s">
        <v>94</v>
      </c>
      <c r="E36" s="118">
        <f t="shared" ref="E36:J36" si="0">SUM(H13,H15,H16)</f>
        <v>18903.91</v>
      </c>
      <c r="F36" s="118">
        <f t="shared" si="0"/>
        <v>16068.324000000001</v>
      </c>
      <c r="G36" s="118">
        <f t="shared" si="0"/>
        <v>1701.8969999999999</v>
      </c>
      <c r="H36" s="118">
        <f t="shared" si="0"/>
        <v>421.65</v>
      </c>
      <c r="I36" s="118">
        <f t="shared" si="0"/>
        <v>712.04</v>
      </c>
      <c r="J36" s="119">
        <f t="shared" si="0"/>
        <v>0</v>
      </c>
    </row>
    <row r="37" spans="1:10" ht="14.25" customHeight="1" x14ac:dyDescent="0.25">
      <c r="A37" s="145" t="s">
        <v>24</v>
      </c>
      <c r="B37" s="120" t="s">
        <v>88</v>
      </c>
      <c r="C37" s="120" t="s">
        <v>89</v>
      </c>
      <c r="D37" s="120" t="s">
        <v>91</v>
      </c>
      <c r="E37" s="119">
        <f t="shared" ref="E37:J37" si="1">SUM(H10,H11,H12)</f>
        <v>6530.37</v>
      </c>
      <c r="F37" s="119">
        <f t="shared" si="1"/>
        <v>2354</v>
      </c>
      <c r="G37" s="119">
        <f t="shared" si="1"/>
        <v>784.67000000000007</v>
      </c>
      <c r="H37" s="119">
        <f t="shared" si="1"/>
        <v>0</v>
      </c>
      <c r="I37" s="119">
        <f t="shared" si="1"/>
        <v>3391.7</v>
      </c>
      <c r="J37" s="119">
        <f t="shared" si="1"/>
        <v>0</v>
      </c>
    </row>
    <row r="38" spans="1:10" x14ac:dyDescent="0.25">
      <c r="A38" s="145"/>
      <c r="B38" s="120" t="s">
        <v>88</v>
      </c>
      <c r="C38" s="120" t="s">
        <v>89</v>
      </c>
      <c r="D38" s="120" t="s">
        <v>90</v>
      </c>
      <c r="E38" s="119">
        <f t="shared" ref="E38:J38" si="2">SUM(H9)</f>
        <v>488.34</v>
      </c>
      <c r="F38" s="119">
        <f t="shared" si="2"/>
        <v>293.00400000000002</v>
      </c>
      <c r="G38" s="119">
        <f t="shared" si="2"/>
        <v>97.67</v>
      </c>
      <c r="H38" s="119">
        <f t="shared" si="2"/>
        <v>0</v>
      </c>
      <c r="I38" s="119">
        <f t="shared" si="2"/>
        <v>97.668000000000006</v>
      </c>
      <c r="J38" s="119">
        <f t="shared" si="2"/>
        <v>0</v>
      </c>
    </row>
    <row r="39" spans="1:10" x14ac:dyDescent="0.25">
      <c r="A39" s="115" t="s">
        <v>22</v>
      </c>
      <c r="B39" s="121">
        <v>4</v>
      </c>
      <c r="C39" s="121" t="s">
        <v>82</v>
      </c>
      <c r="D39" s="122" t="s">
        <v>83</v>
      </c>
      <c r="E39" s="119">
        <f t="shared" ref="E39:J39" si="3">SUM(H6,H7,H8,H14)</f>
        <v>8092.6410526315804</v>
      </c>
      <c r="F39" s="119">
        <f t="shared" si="3"/>
        <v>7688</v>
      </c>
      <c r="G39" s="119">
        <f t="shared" si="3"/>
        <v>0</v>
      </c>
      <c r="H39" s="119">
        <f t="shared" si="3"/>
        <v>386.53105263157903</v>
      </c>
      <c r="I39" s="119">
        <f t="shared" si="3"/>
        <v>18.11</v>
      </c>
      <c r="J39" s="119">
        <f t="shared" si="3"/>
        <v>0</v>
      </c>
    </row>
    <row r="40" spans="1:10" x14ac:dyDescent="0.25">
      <c r="A40" s="123" t="s">
        <v>25</v>
      </c>
      <c r="B40" s="52">
        <v>4</v>
      </c>
      <c r="C40" s="52"/>
      <c r="D40" s="124" t="s">
        <v>99</v>
      </c>
      <c r="E40" s="119">
        <f t="shared" ref="E40:J40" si="4">SUM(H17)</f>
        <v>762.35294117647061</v>
      </c>
      <c r="F40" s="119">
        <f t="shared" si="4"/>
        <v>648</v>
      </c>
      <c r="G40" s="119">
        <f t="shared" si="4"/>
        <v>0</v>
      </c>
      <c r="H40" s="119">
        <f t="shared" si="4"/>
        <v>114.35294117647059</v>
      </c>
      <c r="I40" s="119">
        <f t="shared" si="4"/>
        <v>0</v>
      </c>
      <c r="J40" s="119">
        <f t="shared" si="4"/>
        <v>0</v>
      </c>
    </row>
  </sheetData>
  <mergeCells count="32"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  <mergeCell ref="A10:A12"/>
    <mergeCell ref="A13:A16"/>
    <mergeCell ref="A18:E18"/>
    <mergeCell ref="A20:E20"/>
    <mergeCell ref="A22:A24"/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K40"/>
  <sheetViews>
    <sheetView topLeftCell="A4" zoomScale="90" zoomScaleNormal="90" workbookViewId="0">
      <selection activeCell="I24" sqref="I24"/>
    </sheetView>
  </sheetViews>
  <sheetFormatPr defaultRowHeight="15" x14ac:dyDescent="0.25"/>
  <cols>
    <col min="1" max="1" width="20.140625" style="15" customWidth="1"/>
    <col min="2" max="2" width="12.7109375" style="15" customWidth="1"/>
    <col min="3" max="4" width="12.140625" style="15" customWidth="1"/>
    <col min="5" max="5" width="15" style="15" customWidth="1"/>
    <col min="6" max="6" width="12.140625" style="15" customWidth="1"/>
    <col min="7" max="7" width="10.7109375" style="15" customWidth="1"/>
    <col min="8" max="9" width="11.85546875" style="15" customWidth="1"/>
    <col min="10" max="10" width="11.42578125" style="15"/>
    <col min="11" max="11" width="13.5703125" style="15" customWidth="1"/>
    <col min="12" max="12" width="10.42578125" style="15" customWidth="1"/>
    <col min="13" max="14" width="9.140625" style="15" customWidth="1"/>
    <col min="15" max="15" width="9.85546875" style="15" customWidth="1"/>
    <col min="16" max="1025" width="9.140625" style="15" customWidth="1"/>
  </cols>
  <sheetData>
    <row r="1" spans="1:15" x14ac:dyDescent="0.25">
      <c r="A1" s="7" t="s">
        <v>131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ht="14.2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6" t="s">
        <v>6</v>
      </c>
      <c r="I2" s="6"/>
      <c r="J2" s="6"/>
      <c r="K2" s="6"/>
      <c r="L2" s="6"/>
      <c r="M2" s="14" t="s">
        <v>7</v>
      </c>
    </row>
    <row r="3" spans="1:15" ht="14.25" customHeight="1" x14ac:dyDescent="0.25">
      <c r="A3" s="14"/>
      <c r="B3" s="14"/>
      <c r="C3" s="14"/>
      <c r="D3" s="14"/>
      <c r="E3" s="14"/>
      <c r="F3" s="14"/>
      <c r="G3" s="14"/>
      <c r="H3" s="6"/>
      <c r="I3" s="6"/>
      <c r="J3" s="6"/>
      <c r="K3" s="6"/>
      <c r="L3" s="6"/>
      <c r="M3" s="14"/>
    </row>
    <row r="4" spans="1:15" ht="14.2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5" t="s">
        <v>114</v>
      </c>
      <c r="I4" s="5" t="s">
        <v>14</v>
      </c>
      <c r="J4" s="5"/>
      <c r="K4" s="5" t="s">
        <v>15</v>
      </c>
      <c r="L4" s="5"/>
      <c r="M4" s="14"/>
    </row>
    <row r="5" spans="1:15" ht="55.5" customHeight="1" x14ac:dyDescent="0.25">
      <c r="A5" s="14"/>
      <c r="B5" s="14"/>
      <c r="C5" s="14"/>
      <c r="D5" s="12"/>
      <c r="E5" s="12"/>
      <c r="F5" s="12"/>
      <c r="G5" s="12"/>
      <c r="H5" s="5"/>
      <c r="I5" s="71" t="s">
        <v>77</v>
      </c>
      <c r="J5" s="71" t="s">
        <v>78</v>
      </c>
      <c r="K5" s="71" t="s">
        <v>79</v>
      </c>
      <c r="L5" s="71" t="s">
        <v>80</v>
      </c>
      <c r="M5" s="14"/>
    </row>
    <row r="6" spans="1:15" x14ac:dyDescent="0.25">
      <c r="A6" s="23" t="s">
        <v>27</v>
      </c>
      <c r="B6" s="24" t="s">
        <v>28</v>
      </c>
      <c r="C6" s="24"/>
      <c r="D6" s="25" t="s">
        <v>22</v>
      </c>
      <c r="E6" s="129">
        <v>4</v>
      </c>
      <c r="F6" s="130" t="s">
        <v>82</v>
      </c>
      <c r="G6" s="88" t="s">
        <v>83</v>
      </c>
      <c r="H6" s="126">
        <f>I6/0.95</f>
        <v>4210.5263157894742</v>
      </c>
      <c r="I6" s="126">
        <v>4000</v>
      </c>
      <c r="J6" s="128">
        <v>0</v>
      </c>
      <c r="K6" s="128">
        <f>H6*0.05</f>
        <v>210.52631578947373</v>
      </c>
      <c r="L6" s="128">
        <v>0</v>
      </c>
      <c r="M6" s="104">
        <v>0</v>
      </c>
      <c r="O6" s="53"/>
    </row>
    <row r="7" spans="1:15" ht="14.25" customHeight="1" x14ac:dyDescent="0.25">
      <c r="A7" s="23" t="s">
        <v>31</v>
      </c>
      <c r="B7" s="24" t="s">
        <v>34</v>
      </c>
      <c r="C7" s="24"/>
      <c r="D7" s="25" t="s">
        <v>22</v>
      </c>
      <c r="E7" s="125">
        <v>4</v>
      </c>
      <c r="F7" s="90" t="s">
        <v>82</v>
      </c>
      <c r="G7" s="88" t="s">
        <v>83</v>
      </c>
      <c r="H7" s="126">
        <f>I7/0.95</f>
        <v>3127.3684210526317</v>
      </c>
      <c r="I7" s="126">
        <v>2971</v>
      </c>
      <c r="J7" s="128">
        <v>0</v>
      </c>
      <c r="K7" s="128">
        <f>H7*0.05</f>
        <v>156.36842105263159</v>
      </c>
      <c r="L7" s="128">
        <v>0</v>
      </c>
      <c r="M7" s="104">
        <v>0</v>
      </c>
      <c r="O7" s="53"/>
    </row>
    <row r="8" spans="1:15" ht="14.25" customHeight="1" x14ac:dyDescent="0.25">
      <c r="A8" s="23" t="s">
        <v>84</v>
      </c>
      <c r="B8" s="24" t="s">
        <v>85</v>
      </c>
      <c r="C8" s="24"/>
      <c r="D8" s="25" t="s">
        <v>22</v>
      </c>
      <c r="E8" s="125">
        <v>4</v>
      </c>
      <c r="F8" s="90" t="s">
        <v>82</v>
      </c>
      <c r="G8" s="88" t="s">
        <v>83</v>
      </c>
      <c r="H8" s="126">
        <f>I8/0.95</f>
        <v>0</v>
      </c>
      <c r="I8" s="126">
        <v>0</v>
      </c>
      <c r="J8" s="128">
        <v>0</v>
      </c>
      <c r="K8" s="128">
        <f>H8*0.025</f>
        <v>0</v>
      </c>
      <c r="L8" s="128">
        <f>H8*0.025</f>
        <v>0</v>
      </c>
      <c r="M8" s="104">
        <v>0</v>
      </c>
      <c r="O8" s="53"/>
    </row>
    <row r="9" spans="1:15" x14ac:dyDescent="0.25">
      <c r="A9" s="23" t="s">
        <v>86</v>
      </c>
      <c r="B9" s="24" t="s">
        <v>87</v>
      </c>
      <c r="C9" s="24"/>
      <c r="D9" s="25" t="s">
        <v>24</v>
      </c>
      <c r="E9" s="90" t="s">
        <v>88</v>
      </c>
      <c r="F9" s="90" t="s">
        <v>89</v>
      </c>
      <c r="G9" s="88" t="s">
        <v>90</v>
      </c>
      <c r="H9" s="126">
        <v>0</v>
      </c>
      <c r="I9" s="126">
        <f>H9*0.8*0.75</f>
        <v>0</v>
      </c>
      <c r="J9" s="128">
        <f>H9*0.8*0.25</f>
        <v>0</v>
      </c>
      <c r="K9" s="128">
        <v>0</v>
      </c>
      <c r="L9" s="128">
        <f>H9*0.2</f>
        <v>0</v>
      </c>
      <c r="M9" s="104">
        <v>0</v>
      </c>
      <c r="O9" s="53"/>
    </row>
    <row r="10" spans="1:15" ht="14.25" customHeight="1" x14ac:dyDescent="0.25">
      <c r="A10" s="10" t="s">
        <v>35</v>
      </c>
      <c r="B10" s="24" t="s">
        <v>36</v>
      </c>
      <c r="C10" s="24"/>
      <c r="D10" s="25" t="s">
        <v>24</v>
      </c>
      <c r="E10" s="90" t="s">
        <v>88</v>
      </c>
      <c r="F10" s="90" t="s">
        <v>89</v>
      </c>
      <c r="G10" s="88" t="s">
        <v>91</v>
      </c>
      <c r="H10" s="126">
        <v>1546.66</v>
      </c>
      <c r="I10" s="126">
        <f>H10*0.5*0.75</f>
        <v>579.99750000000006</v>
      </c>
      <c r="J10" s="128">
        <f>H10*0.5*0.25</f>
        <v>193.33250000000001</v>
      </c>
      <c r="K10" s="128">
        <v>0</v>
      </c>
      <c r="L10" s="128">
        <f>H10*0.5</f>
        <v>773.33</v>
      </c>
      <c r="M10" s="104">
        <v>0</v>
      </c>
      <c r="O10" s="53"/>
    </row>
    <row r="11" spans="1:15" x14ac:dyDescent="0.25">
      <c r="A11" s="10"/>
      <c r="B11" s="33" t="s">
        <v>39</v>
      </c>
      <c r="C11" s="33"/>
      <c r="D11" s="25" t="s">
        <v>24</v>
      </c>
      <c r="E11" s="90" t="s">
        <v>88</v>
      </c>
      <c r="F11" s="90" t="s">
        <v>89</v>
      </c>
      <c r="G11" s="88" t="s">
        <v>91</v>
      </c>
      <c r="H11" s="126">
        <v>0</v>
      </c>
      <c r="I11" s="126">
        <f>H11*0.5*0.75</f>
        <v>0</v>
      </c>
      <c r="J11" s="128">
        <f>H11*0.5*0.25</f>
        <v>0</v>
      </c>
      <c r="K11" s="128">
        <v>0</v>
      </c>
      <c r="L11" s="128">
        <f>H11*0.5</f>
        <v>0</v>
      </c>
      <c r="M11" s="104">
        <v>0</v>
      </c>
      <c r="O11" s="53"/>
    </row>
    <row r="12" spans="1:15" x14ac:dyDescent="0.25">
      <c r="A12" s="10"/>
      <c r="B12" s="33" t="s">
        <v>92</v>
      </c>
      <c r="C12" s="33"/>
      <c r="D12" s="25" t="s">
        <v>24</v>
      </c>
      <c r="E12" s="90" t="s">
        <v>88</v>
      </c>
      <c r="F12" s="90" t="s">
        <v>89</v>
      </c>
      <c r="G12" s="88" t="s">
        <v>91</v>
      </c>
      <c r="H12" s="85">
        <v>0</v>
      </c>
      <c r="I12" s="85">
        <f>H12*0.45*0.75</f>
        <v>0</v>
      </c>
      <c r="J12" s="128">
        <f>H12*0.45*0.25</f>
        <v>0</v>
      </c>
      <c r="K12" s="128">
        <v>0</v>
      </c>
      <c r="L12" s="128">
        <f>H12*0.55</f>
        <v>0</v>
      </c>
      <c r="M12" s="104">
        <v>0</v>
      </c>
      <c r="O12" s="53"/>
    </row>
    <row r="13" spans="1:15" ht="14.25" customHeight="1" x14ac:dyDescent="0.25">
      <c r="A13" s="10" t="s">
        <v>40</v>
      </c>
      <c r="B13" s="33" t="s">
        <v>41</v>
      </c>
      <c r="C13" s="33"/>
      <c r="D13" s="25" t="s">
        <v>37</v>
      </c>
      <c r="E13" s="125">
        <v>2</v>
      </c>
      <c r="F13" s="90" t="s">
        <v>93</v>
      </c>
      <c r="G13" s="88" t="s">
        <v>94</v>
      </c>
      <c r="H13" s="111">
        <f>1388+10380</f>
        <v>11768</v>
      </c>
      <c r="I13" s="111">
        <f>1179.8+8823</f>
        <v>10002.799999999999</v>
      </c>
      <c r="J13" s="134">
        <f>69.4+863</f>
        <v>932.4</v>
      </c>
      <c r="K13" s="134">
        <f>34.7+244</f>
        <v>278.7</v>
      </c>
      <c r="L13" s="134">
        <f>104.1+450</f>
        <v>554.1</v>
      </c>
      <c r="M13" s="104">
        <v>0</v>
      </c>
      <c r="O13" s="53"/>
    </row>
    <row r="14" spans="1:15" x14ac:dyDescent="0.25">
      <c r="A14" s="10"/>
      <c r="B14" s="33" t="s">
        <v>42</v>
      </c>
      <c r="C14" s="33"/>
      <c r="D14" s="25" t="s">
        <v>22</v>
      </c>
      <c r="E14" s="129">
        <v>4</v>
      </c>
      <c r="F14" s="130" t="s">
        <v>82</v>
      </c>
      <c r="G14" s="88" t="s">
        <v>83</v>
      </c>
      <c r="H14" s="126">
        <v>0</v>
      </c>
      <c r="I14" s="126">
        <f>H14*0.95</f>
        <v>0</v>
      </c>
      <c r="J14" s="128">
        <v>0</v>
      </c>
      <c r="K14" s="128">
        <v>0</v>
      </c>
      <c r="L14" s="128">
        <f>H14*0.05</f>
        <v>0</v>
      </c>
      <c r="M14" s="104">
        <v>0</v>
      </c>
      <c r="O14" s="53"/>
    </row>
    <row r="15" spans="1:15" x14ac:dyDescent="0.25">
      <c r="A15" s="10"/>
      <c r="B15" s="33" t="s">
        <v>96</v>
      </c>
      <c r="C15" s="33"/>
      <c r="D15" s="25" t="s">
        <v>37</v>
      </c>
      <c r="E15" s="125">
        <v>2</v>
      </c>
      <c r="F15" s="90" t="s">
        <v>93</v>
      </c>
      <c r="G15" s="88" t="s">
        <v>94</v>
      </c>
      <c r="H15" s="139">
        <f>611+2133</f>
        <v>2744</v>
      </c>
      <c r="I15" s="139">
        <f>519.35+1813.05</f>
        <v>2332.4</v>
      </c>
      <c r="J15" s="134">
        <f>44.18+319.95</f>
        <v>364.13</v>
      </c>
      <c r="K15" s="128">
        <v>22.09</v>
      </c>
      <c r="L15" s="128">
        <v>25.38</v>
      </c>
      <c r="M15" s="104">
        <v>0</v>
      </c>
      <c r="O15" s="53"/>
    </row>
    <row r="16" spans="1:15" s="100" customFormat="1" ht="14.25" hidden="1" x14ac:dyDescent="0.25">
      <c r="A16" s="10"/>
      <c r="B16" s="95" t="s">
        <v>97</v>
      </c>
      <c r="C16" s="95"/>
      <c r="D16" s="96" t="s">
        <v>37</v>
      </c>
      <c r="E16" s="96">
        <v>2</v>
      </c>
      <c r="F16" s="97" t="s">
        <v>93</v>
      </c>
      <c r="G16" s="97" t="s">
        <v>94</v>
      </c>
      <c r="H16" s="98">
        <v>0</v>
      </c>
      <c r="I16" s="98">
        <v>0</v>
      </c>
      <c r="J16" s="99">
        <v>0</v>
      </c>
      <c r="K16" s="99">
        <v>0</v>
      </c>
      <c r="L16" s="99">
        <f>H16*0.15</f>
        <v>0</v>
      </c>
      <c r="M16" s="98">
        <v>0</v>
      </c>
      <c r="O16" s="101"/>
    </row>
    <row r="17" spans="1:15" x14ac:dyDescent="0.25">
      <c r="A17" s="102" t="s">
        <v>43</v>
      </c>
      <c r="B17" s="103" t="s">
        <v>44</v>
      </c>
      <c r="C17" s="33"/>
      <c r="D17" s="25" t="s">
        <v>98</v>
      </c>
      <c r="E17" s="25">
        <v>4</v>
      </c>
      <c r="F17" s="25"/>
      <c r="G17" s="26" t="s">
        <v>99</v>
      </c>
      <c r="H17" s="111">
        <f>I17+K17</f>
        <v>762.35</v>
      </c>
      <c r="I17" s="111">
        <v>648</v>
      </c>
      <c r="J17" s="134">
        <v>0</v>
      </c>
      <c r="K17" s="134">
        <v>114.35</v>
      </c>
      <c r="L17" s="134">
        <v>0</v>
      </c>
      <c r="M17" s="111">
        <v>0</v>
      </c>
      <c r="O17" s="53"/>
    </row>
    <row r="18" spans="1:15" ht="14.25" customHeight="1" x14ac:dyDescent="0.25">
      <c r="A18" s="9" t="s">
        <v>26</v>
      </c>
      <c r="B18" s="9"/>
      <c r="C18" s="9"/>
      <c r="D18" s="9"/>
      <c r="E18" s="9"/>
      <c r="F18" s="35"/>
      <c r="G18" s="30"/>
      <c r="H18" s="30"/>
      <c r="I18" s="30"/>
      <c r="J18" s="30"/>
      <c r="K18" s="30"/>
      <c r="L18" s="30"/>
      <c r="M18" s="30"/>
      <c r="O18" s="53"/>
    </row>
    <row r="20" spans="1:15" x14ac:dyDescent="0.25">
      <c r="A20" s="146" t="s">
        <v>132</v>
      </c>
      <c r="B20" s="146"/>
      <c r="C20" s="146"/>
      <c r="D20" s="146"/>
      <c r="E20" s="146"/>
    </row>
    <row r="21" spans="1:15" ht="42.75" x14ac:dyDescent="0.25">
      <c r="A21" s="17" t="s">
        <v>56</v>
      </c>
      <c r="B21" s="17" t="s">
        <v>9</v>
      </c>
      <c r="C21" s="70" t="s">
        <v>101</v>
      </c>
      <c r="D21" s="70" t="s">
        <v>102</v>
      </c>
      <c r="E21" s="70" t="s">
        <v>103</v>
      </c>
    </row>
    <row r="22" spans="1:15" ht="14.25" customHeight="1" x14ac:dyDescent="0.25">
      <c r="A22" s="14" t="s">
        <v>61</v>
      </c>
      <c r="B22" s="24" t="s">
        <v>22</v>
      </c>
      <c r="C22" s="104">
        <v>6971</v>
      </c>
      <c r="D22" s="104">
        <v>0</v>
      </c>
      <c r="E22" s="104">
        <f>C22+D22</f>
        <v>6971</v>
      </c>
    </row>
    <row r="23" spans="1:15" x14ac:dyDescent="0.25">
      <c r="A23" s="14"/>
      <c r="B23" s="24" t="s">
        <v>25</v>
      </c>
      <c r="C23" s="104">
        <f>SUM((I17))</f>
        <v>648</v>
      </c>
      <c r="D23" s="104">
        <f>SUM(J17,K17,L17)</f>
        <v>114.35</v>
      </c>
      <c r="E23" s="104">
        <f>C23+D23</f>
        <v>762.35</v>
      </c>
    </row>
    <row r="24" spans="1:15" x14ac:dyDescent="0.25">
      <c r="A24" s="14"/>
      <c r="B24" s="30" t="s">
        <v>63</v>
      </c>
      <c r="C24" s="108">
        <v>6971</v>
      </c>
      <c r="D24" s="108">
        <v>0</v>
      </c>
      <c r="E24" s="108">
        <f>C24+D24</f>
        <v>6971</v>
      </c>
    </row>
    <row r="25" spans="1:15" ht="14.25" customHeight="1" x14ac:dyDescent="0.25">
      <c r="A25" s="14" t="s">
        <v>65</v>
      </c>
      <c r="B25" s="24" t="s">
        <v>23</v>
      </c>
      <c r="C25" s="111">
        <f>I13+I15</f>
        <v>12335.199999999999</v>
      </c>
      <c r="D25" s="111">
        <f>J13+J15</f>
        <v>1296.53</v>
      </c>
      <c r="E25" s="111">
        <f>C25+D25</f>
        <v>13631.73</v>
      </c>
    </row>
    <row r="26" spans="1:15" x14ac:dyDescent="0.25">
      <c r="A26" s="14"/>
      <c r="B26" s="30" t="s">
        <v>67</v>
      </c>
      <c r="C26" s="111">
        <v>12335.2</v>
      </c>
      <c r="D26" s="111">
        <v>1296.53</v>
      </c>
      <c r="E26" s="111">
        <v>13631.73</v>
      </c>
    </row>
    <row r="27" spans="1:15" ht="14.25" customHeight="1" x14ac:dyDescent="0.25">
      <c r="A27" s="14" t="s">
        <v>68</v>
      </c>
      <c r="B27" s="52" t="s">
        <v>24</v>
      </c>
      <c r="C27" s="126">
        <v>580</v>
      </c>
      <c r="D27" s="104">
        <v>193.33</v>
      </c>
      <c r="E27" s="104">
        <f>C27+D27</f>
        <v>773.33</v>
      </c>
    </row>
    <row r="28" spans="1:15" x14ac:dyDescent="0.25">
      <c r="A28" s="14"/>
      <c r="B28" s="30" t="s">
        <v>69</v>
      </c>
      <c r="C28" s="108">
        <v>580</v>
      </c>
      <c r="D28" s="108">
        <v>193.33</v>
      </c>
      <c r="E28" s="108">
        <v>773.33</v>
      </c>
    </row>
    <row r="29" spans="1:15" x14ac:dyDescent="0.25">
      <c r="A29" s="17" t="s">
        <v>70</v>
      </c>
      <c r="B29" s="138" t="s">
        <v>26</v>
      </c>
      <c r="C29" s="112">
        <f>C24+C26+C28</f>
        <v>19886.2</v>
      </c>
      <c r="D29" s="112">
        <f>D24+D26+D28</f>
        <v>1489.86</v>
      </c>
      <c r="E29" s="112">
        <f>E24+E26+E28</f>
        <v>21376.06</v>
      </c>
    </row>
    <row r="31" spans="1:15" x14ac:dyDescent="0.25">
      <c r="A31" s="2" t="s">
        <v>133</v>
      </c>
      <c r="B31" s="2"/>
      <c r="C31" s="2"/>
      <c r="D31" s="2"/>
      <c r="E31" s="2"/>
      <c r="F31" s="2"/>
      <c r="G31" s="2"/>
      <c r="H31" s="2"/>
      <c r="I31" s="2"/>
      <c r="J31" s="2"/>
    </row>
    <row r="32" spans="1:15" ht="15" customHeight="1" x14ac:dyDescent="0.25">
      <c r="A32" s="1" t="s">
        <v>105</v>
      </c>
      <c r="B32" s="1" t="s">
        <v>106</v>
      </c>
      <c r="C32" s="1" t="s">
        <v>11</v>
      </c>
      <c r="D32" s="1" t="s">
        <v>107</v>
      </c>
      <c r="E32" s="141" t="s">
        <v>108</v>
      </c>
      <c r="F32" s="141"/>
      <c r="G32" s="141"/>
      <c r="H32" s="141"/>
      <c r="I32" s="141"/>
      <c r="J32" s="142" t="s">
        <v>7</v>
      </c>
    </row>
    <row r="33" spans="1:10" ht="14.25" customHeight="1" x14ac:dyDescent="0.25">
      <c r="A33" s="1"/>
      <c r="B33" s="1"/>
      <c r="C33" s="1"/>
      <c r="D33" s="1"/>
      <c r="E33" s="143" t="s">
        <v>13</v>
      </c>
      <c r="F33" s="144" t="s">
        <v>109</v>
      </c>
      <c r="G33" s="144"/>
      <c r="H33" s="144" t="s">
        <v>15</v>
      </c>
      <c r="I33" s="144"/>
      <c r="J33" s="142"/>
    </row>
    <row r="34" spans="1:10" ht="14.25" customHeight="1" x14ac:dyDescent="0.25">
      <c r="A34" s="1"/>
      <c r="B34" s="1"/>
      <c r="C34" s="1"/>
      <c r="D34" s="1"/>
      <c r="E34" s="143"/>
      <c r="F34" s="144"/>
      <c r="G34" s="144"/>
      <c r="H34" s="144"/>
      <c r="I34" s="144"/>
      <c r="J34" s="142"/>
    </row>
    <row r="35" spans="1:10" ht="63.75" x14ac:dyDescent="0.25">
      <c r="A35" s="1"/>
      <c r="B35" s="1"/>
      <c r="C35" s="1"/>
      <c r="D35" s="1"/>
      <c r="E35" s="143"/>
      <c r="F35" s="113" t="s">
        <v>110</v>
      </c>
      <c r="G35" s="114" t="s">
        <v>111</v>
      </c>
      <c r="H35" s="113" t="s">
        <v>112</v>
      </c>
      <c r="I35" s="113" t="s">
        <v>80</v>
      </c>
      <c r="J35" s="142"/>
    </row>
    <row r="36" spans="1:10" x14ac:dyDescent="0.25">
      <c r="A36" s="115" t="s">
        <v>23</v>
      </c>
      <c r="B36" s="116">
        <v>2</v>
      </c>
      <c r="C36" s="117" t="s">
        <v>93</v>
      </c>
      <c r="D36" s="117" t="s">
        <v>94</v>
      </c>
      <c r="E36" s="118">
        <f t="shared" ref="E36:J36" si="0">SUM(H13,H15,H16)</f>
        <v>14512</v>
      </c>
      <c r="F36" s="118">
        <f t="shared" si="0"/>
        <v>12335.199999999999</v>
      </c>
      <c r="G36" s="118">
        <f t="shared" si="0"/>
        <v>1296.53</v>
      </c>
      <c r="H36" s="118">
        <f t="shared" si="0"/>
        <v>300.78999999999996</v>
      </c>
      <c r="I36" s="118">
        <f t="shared" si="0"/>
        <v>579.48</v>
      </c>
      <c r="J36" s="119">
        <f t="shared" si="0"/>
        <v>0</v>
      </c>
    </row>
    <row r="37" spans="1:10" ht="14.25" customHeight="1" x14ac:dyDescent="0.25">
      <c r="A37" s="145" t="s">
        <v>24</v>
      </c>
      <c r="B37" s="120" t="s">
        <v>88</v>
      </c>
      <c r="C37" s="120" t="s">
        <v>89</v>
      </c>
      <c r="D37" s="120" t="s">
        <v>91</v>
      </c>
      <c r="E37" s="119">
        <f t="shared" ref="E37:J37" si="1">SUM(H10,H11,H12)</f>
        <v>1546.66</v>
      </c>
      <c r="F37" s="119">
        <f t="shared" si="1"/>
        <v>579.99750000000006</v>
      </c>
      <c r="G37" s="119">
        <f t="shared" si="1"/>
        <v>193.33250000000001</v>
      </c>
      <c r="H37" s="119">
        <f t="shared" si="1"/>
        <v>0</v>
      </c>
      <c r="I37" s="119">
        <f t="shared" si="1"/>
        <v>773.33</v>
      </c>
      <c r="J37" s="119">
        <f t="shared" si="1"/>
        <v>0</v>
      </c>
    </row>
    <row r="38" spans="1:10" x14ac:dyDescent="0.25">
      <c r="A38" s="145"/>
      <c r="B38" s="120" t="s">
        <v>88</v>
      </c>
      <c r="C38" s="120" t="s">
        <v>89</v>
      </c>
      <c r="D38" s="120" t="s">
        <v>90</v>
      </c>
      <c r="E38" s="119">
        <f t="shared" ref="E38:J38" si="2">SUM(H9)</f>
        <v>0</v>
      </c>
      <c r="F38" s="119">
        <f t="shared" si="2"/>
        <v>0</v>
      </c>
      <c r="G38" s="119">
        <f t="shared" si="2"/>
        <v>0</v>
      </c>
      <c r="H38" s="119">
        <f t="shared" si="2"/>
        <v>0</v>
      </c>
      <c r="I38" s="119">
        <f t="shared" si="2"/>
        <v>0</v>
      </c>
      <c r="J38" s="119">
        <f t="shared" si="2"/>
        <v>0</v>
      </c>
    </row>
    <row r="39" spans="1:10" x14ac:dyDescent="0.25">
      <c r="A39" s="115" t="s">
        <v>22</v>
      </c>
      <c r="B39" s="121">
        <v>4</v>
      </c>
      <c r="C39" s="121" t="s">
        <v>82</v>
      </c>
      <c r="D39" s="122" t="s">
        <v>83</v>
      </c>
      <c r="E39" s="119">
        <f t="shared" ref="E39:J39" si="3">SUM(H6,H7,H8,H14)</f>
        <v>7337.8947368421059</v>
      </c>
      <c r="F39" s="119">
        <f t="shared" si="3"/>
        <v>6971</v>
      </c>
      <c r="G39" s="119">
        <f t="shared" si="3"/>
        <v>0</v>
      </c>
      <c r="H39" s="119">
        <f t="shared" si="3"/>
        <v>366.89473684210532</v>
      </c>
      <c r="I39" s="119">
        <f t="shared" si="3"/>
        <v>0</v>
      </c>
      <c r="J39" s="119">
        <f t="shared" si="3"/>
        <v>0</v>
      </c>
    </row>
    <row r="40" spans="1:10" x14ac:dyDescent="0.25">
      <c r="A40" s="123" t="s">
        <v>25</v>
      </c>
      <c r="B40" s="52">
        <v>4</v>
      </c>
      <c r="C40" s="52"/>
      <c r="D40" s="124" t="s">
        <v>99</v>
      </c>
      <c r="E40" s="119">
        <f t="shared" ref="E40:J40" si="4">SUM(H17)</f>
        <v>762.35</v>
      </c>
      <c r="F40" s="119">
        <f t="shared" si="4"/>
        <v>648</v>
      </c>
      <c r="G40" s="119">
        <f t="shared" si="4"/>
        <v>0</v>
      </c>
      <c r="H40" s="119">
        <f t="shared" si="4"/>
        <v>114.35</v>
      </c>
      <c r="I40" s="119">
        <f t="shared" si="4"/>
        <v>0</v>
      </c>
      <c r="J40" s="119">
        <f t="shared" si="4"/>
        <v>0</v>
      </c>
    </row>
  </sheetData>
  <mergeCells count="32"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  <mergeCell ref="A10:A12"/>
    <mergeCell ref="A13:A16"/>
    <mergeCell ref="A18:E18"/>
    <mergeCell ref="A20:E20"/>
    <mergeCell ref="A22:A24"/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K40"/>
  <sheetViews>
    <sheetView zoomScaleNormal="100" workbookViewId="0">
      <selection activeCell="C29" sqref="C29"/>
    </sheetView>
  </sheetViews>
  <sheetFormatPr defaultRowHeight="15" x14ac:dyDescent="0.25"/>
  <cols>
    <col min="1" max="1" width="20.140625" style="15" customWidth="1"/>
    <col min="2" max="2" width="12.7109375" style="15" customWidth="1"/>
    <col min="3" max="4" width="12.140625" style="15" customWidth="1"/>
    <col min="5" max="5" width="15" style="15" customWidth="1"/>
    <col min="6" max="6" width="12.140625" style="15" customWidth="1"/>
    <col min="7" max="7" width="10.7109375" style="15" customWidth="1"/>
    <col min="8" max="8" width="12.42578125" style="15" customWidth="1"/>
    <col min="9" max="9" width="12.7109375" style="15" customWidth="1"/>
    <col min="10" max="10" width="11.42578125" style="15"/>
    <col min="11" max="11" width="13.5703125" style="15" customWidth="1"/>
    <col min="12" max="12" width="9.85546875" style="15" customWidth="1"/>
    <col min="13" max="14" width="9.140625" style="15" customWidth="1"/>
    <col min="15" max="15" width="9.85546875" style="15" customWidth="1"/>
    <col min="16" max="1025" width="9.140625" style="15" customWidth="1"/>
  </cols>
  <sheetData>
    <row r="1" spans="1:15" x14ac:dyDescent="0.25">
      <c r="A1" s="7" t="s">
        <v>134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ht="14.25" customHeight="1" x14ac:dyDescent="0.25">
      <c r="A2" s="14" t="s">
        <v>2</v>
      </c>
      <c r="B2" s="14" t="s">
        <v>3</v>
      </c>
      <c r="C2" s="14" t="s">
        <v>4</v>
      </c>
      <c r="D2" s="14" t="s">
        <v>5</v>
      </c>
      <c r="E2" s="14"/>
      <c r="F2" s="14"/>
      <c r="G2" s="14"/>
      <c r="H2" s="6" t="s">
        <v>6</v>
      </c>
      <c r="I2" s="6"/>
      <c r="J2" s="6"/>
      <c r="K2" s="6"/>
      <c r="L2" s="6"/>
      <c r="M2" s="14" t="s">
        <v>7</v>
      </c>
    </row>
    <row r="3" spans="1:15" ht="14.25" customHeight="1" x14ac:dyDescent="0.25">
      <c r="A3" s="14"/>
      <c r="B3" s="14"/>
      <c r="C3" s="14"/>
      <c r="D3" s="14"/>
      <c r="E3" s="14"/>
      <c r="F3" s="14"/>
      <c r="G3" s="14"/>
      <c r="H3" s="6"/>
      <c r="I3" s="6"/>
      <c r="J3" s="6"/>
      <c r="K3" s="6"/>
      <c r="L3" s="6"/>
      <c r="M3" s="14"/>
    </row>
    <row r="4" spans="1:15" ht="14.25" customHeight="1" x14ac:dyDescent="0.25">
      <c r="A4" s="14"/>
      <c r="B4" s="14"/>
      <c r="C4" s="14"/>
      <c r="D4" s="12" t="s">
        <v>9</v>
      </c>
      <c r="E4" s="12" t="s">
        <v>10</v>
      </c>
      <c r="F4" s="12" t="s">
        <v>11</v>
      </c>
      <c r="G4" s="12" t="s">
        <v>12</v>
      </c>
      <c r="H4" s="5" t="s">
        <v>114</v>
      </c>
      <c r="I4" s="5" t="s">
        <v>14</v>
      </c>
      <c r="J4" s="5"/>
      <c r="K4" s="5" t="s">
        <v>15</v>
      </c>
      <c r="L4" s="5"/>
      <c r="M4" s="14"/>
    </row>
    <row r="5" spans="1:15" ht="55.5" customHeight="1" x14ac:dyDescent="0.25">
      <c r="A5" s="14"/>
      <c r="B5" s="14"/>
      <c r="C5" s="14"/>
      <c r="D5" s="12"/>
      <c r="E5" s="12"/>
      <c r="F5" s="12"/>
      <c r="G5" s="12"/>
      <c r="H5" s="5"/>
      <c r="I5" s="71" t="s">
        <v>77</v>
      </c>
      <c r="J5" s="71" t="s">
        <v>78</v>
      </c>
      <c r="K5" s="71" t="s">
        <v>79</v>
      </c>
      <c r="L5" s="71" t="s">
        <v>80</v>
      </c>
      <c r="M5" s="14"/>
    </row>
    <row r="6" spans="1:15" x14ac:dyDescent="0.25">
      <c r="A6" s="23" t="s">
        <v>27</v>
      </c>
      <c r="B6" s="24" t="s">
        <v>28</v>
      </c>
      <c r="C6" s="24"/>
      <c r="D6" s="25" t="s">
        <v>22</v>
      </c>
      <c r="E6" s="74">
        <v>4</v>
      </c>
      <c r="F6" s="75" t="s">
        <v>82</v>
      </c>
      <c r="G6" s="26" t="s">
        <v>83</v>
      </c>
      <c r="H6" s="104">
        <f>I6/0.95</f>
        <v>2527.3684210526317</v>
      </c>
      <c r="I6" s="104">
        <v>2401</v>
      </c>
      <c r="J6" s="105">
        <v>0</v>
      </c>
      <c r="K6" s="105">
        <f>H6*0.05</f>
        <v>126.36842105263159</v>
      </c>
      <c r="L6" s="105">
        <v>0</v>
      </c>
      <c r="M6" s="104">
        <v>0</v>
      </c>
      <c r="O6" s="53"/>
    </row>
    <row r="7" spans="1:15" ht="14.25" customHeight="1" x14ac:dyDescent="0.25">
      <c r="A7" s="23" t="s">
        <v>31</v>
      </c>
      <c r="B7" s="24" t="s">
        <v>34</v>
      </c>
      <c r="C7" s="24"/>
      <c r="D7" s="140" t="s">
        <v>22</v>
      </c>
      <c r="E7" s="125">
        <v>4</v>
      </c>
      <c r="F7" s="84" t="s">
        <v>82</v>
      </c>
      <c r="G7" s="26" t="s">
        <v>83</v>
      </c>
      <c r="H7" s="104">
        <f>I7/0.95</f>
        <v>3082.105263157895</v>
      </c>
      <c r="I7" s="104">
        <v>2928</v>
      </c>
      <c r="J7" s="105">
        <v>0</v>
      </c>
      <c r="K7" s="105">
        <f>H7*0.05</f>
        <v>154.10526315789477</v>
      </c>
      <c r="L7" s="105">
        <v>0</v>
      </c>
      <c r="M7" s="104">
        <v>0</v>
      </c>
      <c r="O7" s="53"/>
    </row>
    <row r="8" spans="1:15" ht="14.25" customHeight="1" x14ac:dyDescent="0.25">
      <c r="A8" s="23" t="s">
        <v>84</v>
      </c>
      <c r="B8" s="24" t="s">
        <v>85</v>
      </c>
      <c r="C8" s="24"/>
      <c r="D8" s="140" t="s">
        <v>22</v>
      </c>
      <c r="E8" s="125">
        <v>4</v>
      </c>
      <c r="F8" s="84" t="s">
        <v>82</v>
      </c>
      <c r="G8" s="26" t="s">
        <v>83</v>
      </c>
      <c r="H8" s="104">
        <f>I8/0.95</f>
        <v>0</v>
      </c>
      <c r="I8" s="104">
        <v>0</v>
      </c>
      <c r="J8" s="105">
        <v>0</v>
      </c>
      <c r="K8" s="105">
        <f>H8*0.025</f>
        <v>0</v>
      </c>
      <c r="L8" s="105">
        <f>H8*0.025</f>
        <v>0</v>
      </c>
      <c r="M8" s="104">
        <v>0</v>
      </c>
      <c r="O8" s="53"/>
    </row>
    <row r="9" spans="1:15" x14ac:dyDescent="0.25">
      <c r="A9" s="23" t="s">
        <v>86</v>
      </c>
      <c r="B9" s="24" t="s">
        <v>87</v>
      </c>
      <c r="C9" s="24"/>
      <c r="D9" s="140" t="s">
        <v>24</v>
      </c>
      <c r="E9" s="90" t="s">
        <v>88</v>
      </c>
      <c r="F9" s="84" t="s">
        <v>89</v>
      </c>
      <c r="G9" s="26" t="s">
        <v>90</v>
      </c>
      <c r="H9" s="104">
        <v>0</v>
      </c>
      <c r="I9" s="104">
        <f>H9*0.8*0.75</f>
        <v>0</v>
      </c>
      <c r="J9" s="105">
        <f>H9*0.8*0.25</f>
        <v>0</v>
      </c>
      <c r="K9" s="105">
        <v>0</v>
      </c>
      <c r="L9" s="105">
        <f>H9*0.2</f>
        <v>0</v>
      </c>
      <c r="M9" s="104">
        <v>0</v>
      </c>
      <c r="O9" s="53"/>
    </row>
    <row r="10" spans="1:15" ht="14.25" customHeight="1" x14ac:dyDescent="0.25">
      <c r="A10" s="10" t="s">
        <v>35</v>
      </c>
      <c r="B10" s="24" t="s">
        <v>36</v>
      </c>
      <c r="C10" s="24"/>
      <c r="D10" s="140" t="s">
        <v>24</v>
      </c>
      <c r="E10" s="90" t="s">
        <v>88</v>
      </c>
      <c r="F10" s="84" t="s">
        <v>89</v>
      </c>
      <c r="G10" s="26" t="s">
        <v>91</v>
      </c>
      <c r="H10" s="104">
        <v>0</v>
      </c>
      <c r="I10" s="104">
        <f>H10*0.5*0.75</f>
        <v>0</v>
      </c>
      <c r="J10" s="105">
        <f>H10*0.5*0.25</f>
        <v>0</v>
      </c>
      <c r="K10" s="105">
        <v>0</v>
      </c>
      <c r="L10" s="105">
        <f>H10*0.5</f>
        <v>0</v>
      </c>
      <c r="M10" s="104">
        <v>0</v>
      </c>
      <c r="O10" s="53"/>
    </row>
    <row r="11" spans="1:15" x14ac:dyDescent="0.25">
      <c r="A11" s="10"/>
      <c r="B11" s="33" t="s">
        <v>39</v>
      </c>
      <c r="C11" s="33"/>
      <c r="D11" s="140" t="s">
        <v>24</v>
      </c>
      <c r="E11" s="90" t="s">
        <v>88</v>
      </c>
      <c r="F11" s="84" t="s">
        <v>89</v>
      </c>
      <c r="G11" s="26" t="s">
        <v>91</v>
      </c>
      <c r="H11" s="104">
        <v>0</v>
      </c>
      <c r="I11" s="104">
        <f>H11*0.5*0.75</f>
        <v>0</v>
      </c>
      <c r="J11" s="105">
        <f>H11*0.5*0.25</f>
        <v>0</v>
      </c>
      <c r="K11" s="105">
        <v>0</v>
      </c>
      <c r="L11" s="105">
        <f>H11*0.5</f>
        <v>0</v>
      </c>
      <c r="M11" s="104">
        <v>0</v>
      </c>
      <c r="O11" s="53"/>
    </row>
    <row r="12" spans="1:15" x14ac:dyDescent="0.25">
      <c r="A12" s="10"/>
      <c r="B12" s="33" t="s">
        <v>92</v>
      </c>
      <c r="C12" s="33"/>
      <c r="D12" s="140" t="s">
        <v>24</v>
      </c>
      <c r="E12" s="90" t="s">
        <v>88</v>
      </c>
      <c r="F12" s="84" t="s">
        <v>89</v>
      </c>
      <c r="G12" s="26" t="s">
        <v>91</v>
      </c>
      <c r="H12" s="87">
        <v>0</v>
      </c>
      <c r="I12" s="87">
        <f>H12*0.45*0.75</f>
        <v>0</v>
      </c>
      <c r="J12" s="105">
        <f>H12*0.45*0.25</f>
        <v>0</v>
      </c>
      <c r="K12" s="105">
        <v>0</v>
      </c>
      <c r="L12" s="105">
        <f>H12*0.55</f>
        <v>0</v>
      </c>
      <c r="M12" s="104">
        <v>0</v>
      </c>
      <c r="O12" s="53"/>
    </row>
    <row r="13" spans="1:15" ht="14.25" customHeight="1" x14ac:dyDescent="0.25">
      <c r="A13" s="10" t="s">
        <v>40</v>
      </c>
      <c r="B13" s="33" t="s">
        <v>41</v>
      </c>
      <c r="C13" s="33"/>
      <c r="D13" s="25" t="s">
        <v>37</v>
      </c>
      <c r="E13" s="83">
        <v>2</v>
      </c>
      <c r="F13" s="84" t="s">
        <v>93</v>
      </c>
      <c r="G13" s="26" t="s">
        <v>94</v>
      </c>
      <c r="H13" s="104">
        <v>0</v>
      </c>
      <c r="I13" s="104">
        <v>0</v>
      </c>
      <c r="J13" s="105">
        <v>0</v>
      </c>
      <c r="K13" s="105">
        <v>0</v>
      </c>
      <c r="L13" s="105">
        <v>0</v>
      </c>
      <c r="M13" s="104">
        <v>0</v>
      </c>
      <c r="O13" s="53"/>
    </row>
    <row r="14" spans="1:15" x14ac:dyDescent="0.25">
      <c r="A14" s="10"/>
      <c r="B14" s="33" t="s">
        <v>42</v>
      </c>
      <c r="C14" s="33"/>
      <c r="D14" s="25" t="s">
        <v>22</v>
      </c>
      <c r="E14" s="74">
        <v>4</v>
      </c>
      <c r="F14" s="75" t="s">
        <v>82</v>
      </c>
      <c r="G14" s="26" t="s">
        <v>83</v>
      </c>
      <c r="H14" s="104">
        <v>0</v>
      </c>
      <c r="I14" s="104">
        <f>H14*0.95</f>
        <v>0</v>
      </c>
      <c r="J14" s="105">
        <v>0</v>
      </c>
      <c r="K14" s="105">
        <v>0</v>
      </c>
      <c r="L14" s="105">
        <f>H14*0.05</f>
        <v>0</v>
      </c>
      <c r="M14" s="104">
        <v>0</v>
      </c>
      <c r="O14" s="53"/>
    </row>
    <row r="15" spans="1:15" x14ac:dyDescent="0.25">
      <c r="A15" s="10"/>
      <c r="B15" s="33" t="s">
        <v>96</v>
      </c>
      <c r="C15" s="33"/>
      <c r="D15" s="25" t="s">
        <v>37</v>
      </c>
      <c r="E15" s="83">
        <v>2</v>
      </c>
      <c r="F15" s="84" t="s">
        <v>93</v>
      </c>
      <c r="G15" s="26" t="s">
        <v>94</v>
      </c>
      <c r="H15" s="111">
        <v>2133</v>
      </c>
      <c r="I15" s="111">
        <v>1813.05</v>
      </c>
      <c r="J15" s="134">
        <v>319.95</v>
      </c>
      <c r="K15" s="105">
        <v>0</v>
      </c>
      <c r="L15" s="105">
        <v>0</v>
      </c>
      <c r="M15" s="104">
        <v>0</v>
      </c>
      <c r="O15" s="53"/>
    </row>
    <row r="16" spans="1:15" s="100" customFormat="1" ht="14.25" hidden="1" x14ac:dyDescent="0.25">
      <c r="A16" s="10"/>
      <c r="B16" s="95" t="s">
        <v>97</v>
      </c>
      <c r="C16" s="95"/>
      <c r="D16" s="96" t="s">
        <v>37</v>
      </c>
      <c r="E16" s="96">
        <v>2</v>
      </c>
      <c r="F16" s="97" t="s">
        <v>93</v>
      </c>
      <c r="G16" s="97" t="s">
        <v>94</v>
      </c>
      <c r="H16" s="98">
        <v>0</v>
      </c>
      <c r="I16" s="98">
        <v>0</v>
      </c>
      <c r="J16" s="99">
        <v>0</v>
      </c>
      <c r="K16" s="99">
        <v>0</v>
      </c>
      <c r="L16" s="99">
        <f>H16*0.15</f>
        <v>0</v>
      </c>
      <c r="M16" s="98">
        <v>0</v>
      </c>
      <c r="O16" s="101"/>
    </row>
    <row r="17" spans="1:15" x14ac:dyDescent="0.25">
      <c r="A17" s="102" t="s">
        <v>43</v>
      </c>
      <c r="B17" s="103" t="s">
        <v>44</v>
      </c>
      <c r="C17" s="33"/>
      <c r="D17" s="25" t="s">
        <v>98</v>
      </c>
      <c r="E17" s="25">
        <v>4</v>
      </c>
      <c r="F17" s="25"/>
      <c r="G17" s="26" t="s">
        <v>99</v>
      </c>
      <c r="H17" s="111">
        <f>I17+K17</f>
        <v>762.35</v>
      </c>
      <c r="I17" s="111">
        <v>648</v>
      </c>
      <c r="J17" s="134">
        <v>0</v>
      </c>
      <c r="K17" s="134">
        <v>114.35</v>
      </c>
      <c r="L17" s="134">
        <v>0</v>
      </c>
      <c r="M17" s="111">
        <v>0</v>
      </c>
      <c r="O17" s="53"/>
    </row>
    <row r="18" spans="1:15" ht="14.25" customHeight="1" x14ac:dyDescent="0.25">
      <c r="A18" s="9" t="s">
        <v>26</v>
      </c>
      <c r="B18" s="9"/>
      <c r="C18" s="9"/>
      <c r="D18" s="9"/>
      <c r="E18" s="9"/>
      <c r="F18" s="35"/>
      <c r="G18" s="30"/>
      <c r="H18" s="30"/>
      <c r="I18" s="30"/>
      <c r="J18" s="30"/>
      <c r="K18" s="30"/>
      <c r="L18" s="30"/>
      <c r="M18" s="30"/>
      <c r="O18" s="53"/>
    </row>
    <row r="20" spans="1:15" x14ac:dyDescent="0.25">
      <c r="A20" s="146" t="s">
        <v>135</v>
      </c>
      <c r="B20" s="146"/>
      <c r="C20" s="146"/>
      <c r="D20" s="146"/>
      <c r="E20" s="146"/>
    </row>
    <row r="21" spans="1:15" ht="42.75" x14ac:dyDescent="0.25">
      <c r="A21" s="17" t="s">
        <v>56</v>
      </c>
      <c r="B21" s="17" t="s">
        <v>9</v>
      </c>
      <c r="C21" s="70" t="s">
        <v>101</v>
      </c>
      <c r="D21" s="70" t="s">
        <v>102</v>
      </c>
      <c r="E21" s="70" t="s">
        <v>103</v>
      </c>
    </row>
    <row r="22" spans="1:15" ht="14.25" customHeight="1" x14ac:dyDescent="0.25">
      <c r="A22" s="14" t="s">
        <v>61</v>
      </c>
      <c r="B22" s="24" t="s">
        <v>22</v>
      </c>
      <c r="C22" s="104">
        <v>5329</v>
      </c>
      <c r="D22" s="104">
        <v>0</v>
      </c>
      <c r="E22" s="104">
        <f>C22+D22</f>
        <v>5329</v>
      </c>
    </row>
    <row r="23" spans="1:15" x14ac:dyDescent="0.25">
      <c r="A23" s="14"/>
      <c r="B23" s="24" t="s">
        <v>25</v>
      </c>
      <c r="C23" s="104">
        <f>SUM((I17))</f>
        <v>648</v>
      </c>
      <c r="D23" s="104">
        <f>SUM(J17,K17,L17)</f>
        <v>114.35</v>
      </c>
      <c r="E23" s="104">
        <f>C23+D23</f>
        <v>762.35</v>
      </c>
    </row>
    <row r="24" spans="1:15" x14ac:dyDescent="0.25">
      <c r="A24" s="14"/>
      <c r="B24" s="30" t="s">
        <v>63</v>
      </c>
      <c r="C24" s="108">
        <v>5329</v>
      </c>
      <c r="D24" s="108">
        <v>0</v>
      </c>
      <c r="E24" s="104">
        <v>5329</v>
      </c>
    </row>
    <row r="25" spans="1:15" ht="14.25" customHeight="1" x14ac:dyDescent="0.25">
      <c r="A25" s="14" t="s">
        <v>65</v>
      </c>
      <c r="B25" s="24" t="s">
        <v>23</v>
      </c>
      <c r="C25" s="111">
        <f>I13+I15</f>
        <v>1813.05</v>
      </c>
      <c r="D25" s="111">
        <f>J13+J15</f>
        <v>319.95</v>
      </c>
      <c r="E25" s="111">
        <f>C25+D25</f>
        <v>2133</v>
      </c>
    </row>
    <row r="26" spans="1:15" x14ac:dyDescent="0.25">
      <c r="A26" s="14"/>
      <c r="B26" s="30" t="s">
        <v>67</v>
      </c>
      <c r="C26" s="111">
        <f>SUM(C25)</f>
        <v>1813.05</v>
      </c>
      <c r="D26" s="111">
        <f>SUM(D25)</f>
        <v>319.95</v>
      </c>
      <c r="E26" s="111">
        <f>C26+D26</f>
        <v>2133</v>
      </c>
    </row>
    <row r="27" spans="1:15" ht="14.25" customHeight="1" x14ac:dyDescent="0.25">
      <c r="A27" s="14" t="s">
        <v>68</v>
      </c>
      <c r="B27" s="52" t="s">
        <v>24</v>
      </c>
      <c r="C27" s="126">
        <f>SUM(I9,I10,I11,I12)</f>
        <v>0</v>
      </c>
      <c r="D27" s="104">
        <f>SUM(J9,J10,J11,J12,K9,K10,K11,K12,L9,L10,L11,L12)</f>
        <v>0</v>
      </c>
      <c r="E27" s="104">
        <f>C27+D27</f>
        <v>0</v>
      </c>
    </row>
    <row r="28" spans="1:15" x14ac:dyDescent="0.25">
      <c r="A28" s="14"/>
      <c r="B28" s="30" t="s">
        <v>69</v>
      </c>
      <c r="C28" s="108">
        <f>SUM(C27)</f>
        <v>0</v>
      </c>
      <c r="D28" s="108">
        <f>SUM(D27)</f>
        <v>0</v>
      </c>
      <c r="E28" s="104">
        <f>C28+D28</f>
        <v>0</v>
      </c>
    </row>
    <row r="29" spans="1:15" x14ac:dyDescent="0.25">
      <c r="A29" s="17" t="s">
        <v>70</v>
      </c>
      <c r="B29" s="138" t="s">
        <v>26</v>
      </c>
      <c r="C29" s="112">
        <f>C24+C26+C28</f>
        <v>7142.05</v>
      </c>
      <c r="D29" s="112">
        <f>D24+D26+D28</f>
        <v>319.95</v>
      </c>
      <c r="E29" s="111">
        <f>C29+D29</f>
        <v>7462</v>
      </c>
    </row>
    <row r="31" spans="1:15" x14ac:dyDescent="0.25">
      <c r="A31" s="2" t="s">
        <v>136</v>
      </c>
      <c r="B31" s="2"/>
      <c r="C31" s="2"/>
      <c r="D31" s="2"/>
      <c r="E31" s="2"/>
      <c r="F31" s="2"/>
      <c r="G31" s="2"/>
      <c r="H31" s="2"/>
      <c r="I31" s="2"/>
      <c r="J31" s="2"/>
    </row>
    <row r="32" spans="1:15" ht="15" customHeight="1" x14ac:dyDescent="0.25">
      <c r="A32" s="1" t="s">
        <v>105</v>
      </c>
      <c r="B32" s="1" t="s">
        <v>10</v>
      </c>
      <c r="C32" s="1" t="s">
        <v>11</v>
      </c>
      <c r="D32" s="1" t="s">
        <v>107</v>
      </c>
      <c r="E32" s="141" t="s">
        <v>108</v>
      </c>
      <c r="F32" s="141"/>
      <c r="G32" s="141"/>
      <c r="H32" s="141"/>
      <c r="I32" s="141"/>
      <c r="J32" s="142" t="s">
        <v>7</v>
      </c>
    </row>
    <row r="33" spans="1:10" ht="14.25" customHeight="1" x14ac:dyDescent="0.25">
      <c r="A33" s="1"/>
      <c r="B33" s="1"/>
      <c r="C33" s="1"/>
      <c r="D33" s="1"/>
      <c r="E33" s="143" t="s">
        <v>13</v>
      </c>
      <c r="F33" s="144" t="s">
        <v>109</v>
      </c>
      <c r="G33" s="144"/>
      <c r="H33" s="144" t="s">
        <v>15</v>
      </c>
      <c r="I33" s="144"/>
      <c r="J33" s="142"/>
    </row>
    <row r="34" spans="1:10" ht="14.25" customHeight="1" x14ac:dyDescent="0.25">
      <c r="A34" s="1"/>
      <c r="B34" s="1"/>
      <c r="C34" s="1"/>
      <c r="D34" s="1"/>
      <c r="E34" s="143"/>
      <c r="F34" s="144"/>
      <c r="G34" s="144"/>
      <c r="H34" s="144"/>
      <c r="I34" s="144"/>
      <c r="J34" s="142"/>
    </row>
    <row r="35" spans="1:10" ht="51" x14ac:dyDescent="0.25">
      <c r="A35" s="1"/>
      <c r="B35" s="1"/>
      <c r="C35" s="1"/>
      <c r="D35" s="1"/>
      <c r="E35" s="143"/>
      <c r="F35" s="113" t="s">
        <v>110</v>
      </c>
      <c r="G35" s="114" t="s">
        <v>111</v>
      </c>
      <c r="H35" s="113" t="s">
        <v>112</v>
      </c>
      <c r="I35" s="113" t="s">
        <v>80</v>
      </c>
      <c r="J35" s="142"/>
    </row>
    <row r="36" spans="1:10" x14ac:dyDescent="0.25">
      <c r="A36" s="115" t="s">
        <v>23</v>
      </c>
      <c r="B36" s="116">
        <v>2</v>
      </c>
      <c r="C36" s="117" t="s">
        <v>93</v>
      </c>
      <c r="D36" s="117" t="s">
        <v>94</v>
      </c>
      <c r="E36" s="118">
        <f t="shared" ref="E36:J36" si="0">SUM(H13,H15,H16)</f>
        <v>2133</v>
      </c>
      <c r="F36" s="118">
        <f t="shared" si="0"/>
        <v>1813.05</v>
      </c>
      <c r="G36" s="118">
        <f t="shared" si="0"/>
        <v>319.95</v>
      </c>
      <c r="H36" s="118">
        <f t="shared" si="0"/>
        <v>0</v>
      </c>
      <c r="I36" s="118">
        <f t="shared" si="0"/>
        <v>0</v>
      </c>
      <c r="J36" s="119">
        <f t="shared" si="0"/>
        <v>0</v>
      </c>
    </row>
    <row r="37" spans="1:10" ht="14.25" customHeight="1" x14ac:dyDescent="0.25">
      <c r="A37" s="145" t="s">
        <v>24</v>
      </c>
      <c r="B37" s="120" t="s">
        <v>88</v>
      </c>
      <c r="C37" s="120" t="s">
        <v>89</v>
      </c>
      <c r="D37" s="120" t="s">
        <v>91</v>
      </c>
      <c r="E37" s="119">
        <f t="shared" ref="E37:J37" si="1">SUM(H10,H11,H12)</f>
        <v>0</v>
      </c>
      <c r="F37" s="119">
        <f t="shared" si="1"/>
        <v>0</v>
      </c>
      <c r="G37" s="119">
        <f t="shared" si="1"/>
        <v>0</v>
      </c>
      <c r="H37" s="119">
        <f t="shared" si="1"/>
        <v>0</v>
      </c>
      <c r="I37" s="119">
        <f t="shared" si="1"/>
        <v>0</v>
      </c>
      <c r="J37" s="119">
        <f t="shared" si="1"/>
        <v>0</v>
      </c>
    </row>
    <row r="38" spans="1:10" x14ac:dyDescent="0.25">
      <c r="A38" s="145"/>
      <c r="B38" s="120" t="s">
        <v>88</v>
      </c>
      <c r="C38" s="120" t="s">
        <v>89</v>
      </c>
      <c r="D38" s="120" t="s">
        <v>90</v>
      </c>
      <c r="E38" s="119">
        <f t="shared" ref="E38:J38" si="2">SUM(H9)</f>
        <v>0</v>
      </c>
      <c r="F38" s="119">
        <f t="shared" si="2"/>
        <v>0</v>
      </c>
      <c r="G38" s="119">
        <f t="shared" si="2"/>
        <v>0</v>
      </c>
      <c r="H38" s="119">
        <f t="shared" si="2"/>
        <v>0</v>
      </c>
      <c r="I38" s="119">
        <f t="shared" si="2"/>
        <v>0</v>
      </c>
      <c r="J38" s="119">
        <f t="shared" si="2"/>
        <v>0</v>
      </c>
    </row>
    <row r="39" spans="1:10" x14ac:dyDescent="0.25">
      <c r="A39" s="115" t="s">
        <v>22</v>
      </c>
      <c r="B39" s="121">
        <v>4</v>
      </c>
      <c r="C39" s="121" t="s">
        <v>82</v>
      </c>
      <c r="D39" s="122" t="s">
        <v>83</v>
      </c>
      <c r="E39" s="119">
        <f t="shared" ref="E39:J39" si="3">SUM(H6,H7,H8,H14)</f>
        <v>5609.4736842105267</v>
      </c>
      <c r="F39" s="119">
        <f t="shared" si="3"/>
        <v>5329</v>
      </c>
      <c r="G39" s="119">
        <f t="shared" si="3"/>
        <v>0</v>
      </c>
      <c r="H39" s="119">
        <f t="shared" si="3"/>
        <v>280.47368421052636</v>
      </c>
      <c r="I39" s="119">
        <f t="shared" si="3"/>
        <v>0</v>
      </c>
      <c r="J39" s="119">
        <f t="shared" si="3"/>
        <v>0</v>
      </c>
    </row>
    <row r="40" spans="1:10" x14ac:dyDescent="0.25">
      <c r="A40" s="123" t="s">
        <v>25</v>
      </c>
      <c r="B40" s="52">
        <v>4</v>
      </c>
      <c r="C40" s="52"/>
      <c r="D40" s="124" t="s">
        <v>99</v>
      </c>
      <c r="E40" s="119">
        <f t="shared" ref="E40:J40" si="4">SUM(H17)</f>
        <v>762.35</v>
      </c>
      <c r="F40" s="119">
        <f t="shared" si="4"/>
        <v>648</v>
      </c>
      <c r="G40" s="119">
        <f t="shared" si="4"/>
        <v>0</v>
      </c>
      <c r="H40" s="119">
        <f t="shared" si="4"/>
        <v>114.35</v>
      </c>
      <c r="I40" s="119">
        <f t="shared" si="4"/>
        <v>0</v>
      </c>
      <c r="J40" s="119">
        <f t="shared" si="4"/>
        <v>0</v>
      </c>
    </row>
  </sheetData>
  <mergeCells count="32">
    <mergeCell ref="A37:A38"/>
    <mergeCell ref="A25:A26"/>
    <mergeCell ref="A27:A28"/>
    <mergeCell ref="A31:J31"/>
    <mergeCell ref="A32:A35"/>
    <mergeCell ref="B32:B35"/>
    <mergeCell ref="C32:C35"/>
    <mergeCell ref="D32:D35"/>
    <mergeCell ref="E32:I32"/>
    <mergeCell ref="J32:J35"/>
    <mergeCell ref="E33:E35"/>
    <mergeCell ref="F33:G34"/>
    <mergeCell ref="H33:I34"/>
    <mergeCell ref="A10:A12"/>
    <mergeCell ref="A13:A16"/>
    <mergeCell ref="A18:E18"/>
    <mergeCell ref="A20:E20"/>
    <mergeCell ref="A22:A24"/>
    <mergeCell ref="A1:M1"/>
    <mergeCell ref="A2:A5"/>
    <mergeCell ref="B2:B5"/>
    <mergeCell ref="C2:C5"/>
    <mergeCell ref="D2:G3"/>
    <mergeCell ref="H2:L3"/>
    <mergeCell ref="M2:M5"/>
    <mergeCell ref="D4:D5"/>
    <mergeCell ref="E4:E5"/>
    <mergeCell ref="F4:F5"/>
    <mergeCell ref="G4:G5"/>
    <mergeCell ref="H4:H5"/>
    <mergeCell ref="I4:J4"/>
    <mergeCell ref="K4:L4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Celkový finanční plán</vt:lpstr>
      <vt:lpstr> Celkový finanční plán II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Skarabeus</dc:creator>
  <dc:description/>
  <cp:lastModifiedBy>Skarabeus</cp:lastModifiedBy>
  <cp:revision>3</cp:revision>
  <dcterms:created xsi:type="dcterms:W3CDTF">2006-10-17T13:37:20Z</dcterms:created>
  <dcterms:modified xsi:type="dcterms:W3CDTF">2019-03-04T21:29:47Z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